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20" yWindow="-120" windowWidth="25440" windowHeight="15390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9" r:id="rId5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4">'Form 16'!$A$2:$L$159</definedName>
    <definedName name="_xlnm.Print_Area" localSheetId="0">'GA-55'!$C$4:$AC$38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'GA-55'!$AD:$XFD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'GA-55'!$C$4:$AC$36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'GA-55'!$949:$1048576,'GA-55'!$37:$948</definedName>
    <definedName name="Z_01E6FF9C_BB30_4C32_9D09_6DB93F11503E_.wvu.Rows" localSheetId="1" hidden="1">'Other Deduction'!$561:$1048576,'Other Deduction'!$23:$560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'GA-55'!$AD:$XFD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'GA-55'!$C$4:$AC$36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'GA-55'!$949:$1048576,'GA-55'!$37:$948</definedName>
    <definedName name="Z_483AFC7C_A53B_4837_A853_31CBC6C9ED1B_.wvu.Rows" localSheetId="1" hidden="1">'Other Deduction'!$561:$1048576,'Other Deduction'!$23:$560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2"/>
  <c r="H12"/>
  <c r="H26"/>
  <c r="H10"/>
  <c r="I10" l="1"/>
  <c r="D11" l="1"/>
  <c r="G147" i="9"/>
  <c r="K133"/>
  <c r="G126"/>
  <c r="L107"/>
  <c r="I102"/>
  <c r="I94"/>
  <c r="M12" i="8"/>
  <c r="M12" i="3"/>
  <c r="H11" i="2" l="1"/>
  <c r="I11"/>
  <c r="Q41" i="3"/>
  <c r="Q39"/>
  <c r="N23" i="2" l="1"/>
  <c r="O23"/>
  <c r="AA23" s="1"/>
  <c r="AB23" s="1"/>
  <c r="Q6" i="3"/>
  <c r="Q43"/>
  <c r="P9" i="2"/>
  <c r="D25" l="1"/>
  <c r="O25" s="1"/>
  <c r="O10"/>
  <c r="O9"/>
  <c r="AA24" l="1"/>
  <c r="AA27"/>
  <c r="AA28"/>
  <c r="AA29"/>
  <c r="AA30"/>
  <c r="G9" i="9" l="1"/>
  <c r="G8"/>
  <c r="B64"/>
  <c r="B147" s="1"/>
  <c r="Z31" i="2"/>
  <c r="Q32" i="3" l="1"/>
  <c r="K142" i="9" l="1"/>
  <c r="B41" l="1"/>
  <c r="B29"/>
  <c r="A10"/>
  <c r="G10" s="1"/>
  <c r="G13"/>
  <c r="D13"/>
  <c r="I132"/>
  <c r="K132" s="1"/>
  <c r="I131"/>
  <c r="K131" s="1"/>
  <c r="I130"/>
  <c r="K130" s="1"/>
  <c r="I126"/>
  <c r="K126" s="1"/>
  <c r="I125"/>
  <c r="K125" s="1"/>
  <c r="I121"/>
  <c r="K121" s="1"/>
  <c r="I120"/>
  <c r="K120" s="1"/>
  <c r="B62" l="1"/>
  <c r="A65"/>
  <c r="A148" s="1"/>
  <c r="H156" l="1"/>
  <c r="H157"/>
  <c r="O28" i="8"/>
  <c r="I28"/>
  <c r="O27"/>
  <c r="O26"/>
  <c r="O25"/>
  <c r="I25"/>
  <c r="O24"/>
  <c r="I24"/>
  <c r="O23"/>
  <c r="I23"/>
  <c r="O22"/>
  <c r="O21"/>
  <c r="O22" i="3"/>
  <c r="O26"/>
  <c r="O28"/>
  <c r="O27"/>
  <c r="O25"/>
  <c r="O24"/>
  <c r="O23"/>
  <c r="O21"/>
  <c r="S10" i="2"/>
  <c r="O22"/>
  <c r="AA22" s="1"/>
  <c r="N27"/>
  <c r="AB27" s="1"/>
  <c r="N28"/>
  <c r="AB28" s="1"/>
  <c r="N29"/>
  <c r="AB29" s="1"/>
  <c r="N30"/>
  <c r="AB30" s="1"/>
  <c r="I27" i="3"/>
  <c r="G117" i="9" s="1"/>
  <c r="I117" s="1"/>
  <c r="K117" s="1"/>
  <c r="AA25" i="2"/>
  <c r="O65" i="8" l="1"/>
  <c r="Q62"/>
  <c r="Q17"/>
  <c r="K14"/>
  <c r="M9"/>
  <c r="M8"/>
  <c r="P3"/>
  <c r="L3"/>
  <c r="E3"/>
  <c r="B1"/>
  <c r="E14" l="1"/>
  <c r="M14" s="1"/>
  <c r="Q15" s="1"/>
  <c r="A2" i="1" l="1"/>
  <c r="Q59" i="3"/>
  <c r="Q38"/>
  <c r="Q37"/>
  <c r="Q36"/>
  <c r="Q35"/>
  <c r="Q42"/>
  <c r="Q40"/>
  <c r="Q17"/>
  <c r="M9"/>
  <c r="Y11" i="2"/>
  <c r="Y12" s="1"/>
  <c r="Y13" s="1"/>
  <c r="Y14" s="1"/>
  <c r="Y15" s="1"/>
  <c r="Y16" s="1"/>
  <c r="Y17" s="1"/>
  <c r="Y18" s="1"/>
  <c r="J12"/>
  <c r="Q44" i="3" l="1"/>
  <c r="S11" i="2"/>
  <c r="O11"/>
  <c r="O62" i="3"/>
  <c r="P3"/>
  <c r="N25" i="2"/>
  <c r="AB25" s="1"/>
  <c r="Y31"/>
  <c r="U31"/>
  <c r="K11"/>
  <c r="K12" s="1"/>
  <c r="K13" s="1"/>
  <c r="K14" s="1"/>
  <c r="K15" s="1"/>
  <c r="K16" s="1"/>
  <c r="K17" s="1"/>
  <c r="K18" s="1"/>
  <c r="K19" s="1"/>
  <c r="K20" s="1"/>
  <c r="K21" s="1"/>
  <c r="K31" l="1"/>
  <c r="I25" i="3"/>
  <c r="W11" i="2"/>
  <c r="V11"/>
  <c r="AA10" l="1"/>
  <c r="Q11" l="1"/>
  <c r="W12"/>
  <c r="V12"/>
  <c r="T11"/>
  <c r="R11"/>
  <c r="P11"/>
  <c r="M8" i="3"/>
  <c r="I28"/>
  <c r="I24"/>
  <c r="I23"/>
  <c r="K14"/>
  <c r="E14"/>
  <c r="Q5"/>
  <c r="L3"/>
  <c r="E3"/>
  <c r="B1"/>
  <c r="J13" i="2"/>
  <c r="J14" s="1"/>
  <c r="J15" s="1"/>
  <c r="J16" s="1"/>
  <c r="J17" s="1"/>
  <c r="J18" s="1"/>
  <c r="J19" s="1"/>
  <c r="J20" s="1"/>
  <c r="J21" s="1"/>
  <c r="J11"/>
  <c r="M11"/>
  <c r="L11"/>
  <c r="G11"/>
  <c r="F11"/>
  <c r="E11"/>
  <c r="E12"/>
  <c r="E13"/>
  <c r="E14"/>
  <c r="E15"/>
  <c r="E16"/>
  <c r="E17"/>
  <c r="E18"/>
  <c r="E19"/>
  <c r="E20"/>
  <c r="E21"/>
  <c r="J31" l="1"/>
  <c r="G12"/>
  <c r="G13" s="1"/>
  <c r="G14" s="1"/>
  <c r="G15" s="1"/>
  <c r="G16" s="1"/>
  <c r="G17" s="1"/>
  <c r="G18" s="1"/>
  <c r="G19" s="1"/>
  <c r="G20" s="1"/>
  <c r="G21" s="1"/>
  <c r="R12"/>
  <c r="R13" s="1"/>
  <c r="R14" s="1"/>
  <c r="R15" s="1"/>
  <c r="R16" s="1"/>
  <c r="R17" s="1"/>
  <c r="R18" s="1"/>
  <c r="R19" s="1"/>
  <c r="R20" s="1"/>
  <c r="R21" s="1"/>
  <c r="Q12"/>
  <c r="Q13" s="1"/>
  <c r="Q14" s="1"/>
  <c r="Q15" s="1"/>
  <c r="Q16" s="1"/>
  <c r="Q17" s="1"/>
  <c r="Q18" s="1"/>
  <c r="Q19" s="1"/>
  <c r="Q20" s="1"/>
  <c r="Q21" s="1"/>
  <c r="E31"/>
  <c r="F12"/>
  <c r="F13" s="1"/>
  <c r="F14" s="1"/>
  <c r="F15" s="1"/>
  <c r="F16" s="1"/>
  <c r="F17" s="1"/>
  <c r="F18" s="1"/>
  <c r="F19" s="1"/>
  <c r="F20" s="1"/>
  <c r="F21" s="1"/>
  <c r="L12"/>
  <c r="L13" s="1"/>
  <c r="L14" s="1"/>
  <c r="L15" s="1"/>
  <c r="L16" s="1"/>
  <c r="L17" s="1"/>
  <c r="L18" s="1"/>
  <c r="L19" s="1"/>
  <c r="L20" s="1"/>
  <c r="L21" s="1"/>
  <c r="P12"/>
  <c r="P13" s="1"/>
  <c r="P14" s="1"/>
  <c r="P15" s="1"/>
  <c r="P16" s="1"/>
  <c r="P17" s="1"/>
  <c r="P18" s="1"/>
  <c r="P19" s="1"/>
  <c r="P20" s="1"/>
  <c r="P21" s="1"/>
  <c r="T12"/>
  <c r="D12"/>
  <c r="W13"/>
  <c r="W14" s="1"/>
  <c r="W15" s="1"/>
  <c r="W16" s="1"/>
  <c r="W17" s="1"/>
  <c r="W18" s="1"/>
  <c r="W19" s="1"/>
  <c r="W20" s="1"/>
  <c r="W21" s="1"/>
  <c r="V13"/>
  <c r="V14" s="1"/>
  <c r="V15" s="1"/>
  <c r="V16" s="1"/>
  <c r="V17" s="1"/>
  <c r="V18" s="1"/>
  <c r="V19" s="1"/>
  <c r="V20" s="1"/>
  <c r="V21" s="1"/>
  <c r="N10"/>
  <c r="M12"/>
  <c r="M13" s="1"/>
  <c r="M14" s="1"/>
  <c r="M15" s="1"/>
  <c r="M16" s="1"/>
  <c r="M17" s="1"/>
  <c r="M18" s="1"/>
  <c r="M19" s="1"/>
  <c r="M20" s="1"/>
  <c r="M21" s="1"/>
  <c r="I12" l="1"/>
  <c r="S12"/>
  <c r="X11"/>
  <c r="T13"/>
  <c r="O12"/>
  <c r="L31"/>
  <c r="F31"/>
  <c r="R31"/>
  <c r="D13"/>
  <c r="P31"/>
  <c r="V31"/>
  <c r="I29" i="8" s="1"/>
  <c r="N11" i="2"/>
  <c r="W31"/>
  <c r="H14" i="3" s="1"/>
  <c r="M31" i="2"/>
  <c r="Q31"/>
  <c r="G31"/>
  <c r="H13" l="1"/>
  <c r="I13"/>
  <c r="X12"/>
  <c r="H19" i="9" s="1"/>
  <c r="AA12" i="2"/>
  <c r="S13"/>
  <c r="B30" i="9"/>
  <c r="AA11" i="2"/>
  <c r="AB11" s="1"/>
  <c r="T14"/>
  <c r="I21" i="3"/>
  <c r="G115" i="9" s="1"/>
  <c r="I115" s="1"/>
  <c r="K115" s="1"/>
  <c r="I29" i="3"/>
  <c r="G118" i="9" s="1"/>
  <c r="I118" s="1"/>
  <c r="K118" s="1"/>
  <c r="O13" i="2"/>
  <c r="D14"/>
  <c r="N12"/>
  <c r="F19" i="9" s="1"/>
  <c r="M14" i="3"/>
  <c r="Q15" s="1"/>
  <c r="H14" i="2" l="1"/>
  <c r="I14"/>
  <c r="X13"/>
  <c r="B31" i="9"/>
  <c r="AB12" i="2"/>
  <c r="AA13"/>
  <c r="S14"/>
  <c r="T15"/>
  <c r="X14"/>
  <c r="B32" i="9"/>
  <c r="K19"/>
  <c r="O14" i="2"/>
  <c r="N22"/>
  <c r="AB22" s="1"/>
  <c r="N13"/>
  <c r="D15"/>
  <c r="H15" l="1"/>
  <c r="I15"/>
  <c r="AA14"/>
  <c r="S15"/>
  <c r="AB13"/>
  <c r="T16"/>
  <c r="X15"/>
  <c r="B33" i="9"/>
  <c r="O15" i="2"/>
  <c r="N14"/>
  <c r="D16"/>
  <c r="H16" l="1"/>
  <c r="I16"/>
  <c r="AA15"/>
  <c r="AB14"/>
  <c r="S16"/>
  <c r="T17"/>
  <c r="X16"/>
  <c r="B34" i="9"/>
  <c r="H20"/>
  <c r="O16" i="2"/>
  <c r="N15"/>
  <c r="D17"/>
  <c r="H17" l="1"/>
  <c r="I17"/>
  <c r="N26"/>
  <c r="D24"/>
  <c r="H24" s="1"/>
  <c r="AA16"/>
  <c r="AB15"/>
  <c r="F20" i="9"/>
  <c r="S17" i="2"/>
  <c r="T18"/>
  <c r="K20" i="9"/>
  <c r="X17" i="2"/>
  <c r="B35" i="9"/>
  <c r="F62" i="3"/>
  <c r="F65" i="8"/>
  <c r="O17" i="2"/>
  <c r="N16"/>
  <c r="D18"/>
  <c r="H18" l="1"/>
  <c r="I18"/>
  <c r="O26"/>
  <c r="AA26" s="1"/>
  <c r="AB26" s="1"/>
  <c r="AA17"/>
  <c r="AB16"/>
  <c r="S18"/>
  <c r="T19"/>
  <c r="B36" i="9"/>
  <c r="X18" i="2"/>
  <c r="O18"/>
  <c r="N17"/>
  <c r="AB10"/>
  <c r="D19"/>
  <c r="H19" l="1"/>
  <c r="I19"/>
  <c r="AB17"/>
  <c r="AA18"/>
  <c r="S19"/>
  <c r="T20"/>
  <c r="X19"/>
  <c r="B37" i="9"/>
  <c r="H21"/>
  <c r="O19" i="2"/>
  <c r="N18"/>
  <c r="N24"/>
  <c r="AB24" s="1"/>
  <c r="D20"/>
  <c r="H20" l="1"/>
  <c r="I20"/>
  <c r="AA19"/>
  <c r="S20"/>
  <c r="F21" i="9"/>
  <c r="AB18" i="2"/>
  <c r="T21"/>
  <c r="K21" i="9"/>
  <c r="X20" i="2"/>
  <c r="B38" i="9"/>
  <c r="J62" i="3"/>
  <c r="J65" i="8"/>
  <c r="O20" i="2"/>
  <c r="N19"/>
  <c r="D21"/>
  <c r="H21" l="1"/>
  <c r="I21"/>
  <c r="I31" s="1"/>
  <c r="AB19"/>
  <c r="AA20"/>
  <c r="S21"/>
  <c r="S31" s="1"/>
  <c r="T31"/>
  <c r="B39" i="9"/>
  <c r="L65" i="8"/>
  <c r="X21" i="2"/>
  <c r="H22" i="9" s="1"/>
  <c r="L62" i="3"/>
  <c r="O21" i="2"/>
  <c r="N20"/>
  <c r="D31"/>
  <c r="AA21" l="1"/>
  <c r="AA31" s="1"/>
  <c r="AB20"/>
  <c r="I22" i="8"/>
  <c r="I22" i="3"/>
  <c r="I116" i="9" s="1"/>
  <c r="K116" s="1"/>
  <c r="X31" i="2"/>
  <c r="F8" i="1" s="1"/>
  <c r="B40" i="9"/>
  <c r="B42" s="1"/>
  <c r="M65" i="8"/>
  <c r="P65" s="1"/>
  <c r="M62" i="3"/>
  <c r="P62" s="1"/>
  <c r="K22" i="9"/>
  <c r="K23" s="1"/>
  <c r="H23"/>
  <c r="H31" i="2"/>
  <c r="F20" i="1"/>
  <c r="I65" i="9" l="1"/>
  <c r="K144"/>
  <c r="N21" i="2"/>
  <c r="F22" i="9" l="1"/>
  <c r="F23" s="1"/>
  <c r="AB21" i="2"/>
  <c r="N31"/>
  <c r="Q4" i="8" l="1"/>
  <c r="I86" i="9" s="1"/>
  <c r="Q4" i="3"/>
  <c r="F4" i="1"/>
  <c r="F17" s="1"/>
  <c r="Q10" i="8"/>
  <c r="O31" i="2"/>
  <c r="G114" i="9" s="1"/>
  <c r="Q7" i="8" l="1"/>
  <c r="Q11" s="1"/>
  <c r="Q16" s="1"/>
  <c r="Q18" s="1"/>
  <c r="J91" i="9"/>
  <c r="J96" s="1"/>
  <c r="L104" s="1"/>
  <c r="L109" s="1"/>
  <c r="Q7" i="3"/>
  <c r="M10" s="1"/>
  <c r="Q10" s="1"/>
  <c r="Q11" s="1"/>
  <c r="Q16" s="1"/>
  <c r="Q18" s="1"/>
  <c r="I114" i="9"/>
  <c r="I26" i="3"/>
  <c r="O30" s="1"/>
  <c r="G119" i="9" s="1"/>
  <c r="AB31" i="2"/>
  <c r="Q33" i="8"/>
  <c r="Q45" s="1"/>
  <c r="I119" i="9" l="1"/>
  <c r="K119" s="1"/>
  <c r="G122"/>
  <c r="K114"/>
  <c r="O30" i="8"/>
  <c r="Q31" i="3"/>
  <c r="Q46" i="8"/>
  <c r="Q47" s="1"/>
  <c r="T52" l="1"/>
  <c r="Q52" s="1"/>
  <c r="Q56" s="1"/>
  <c r="T58"/>
  <c r="T51"/>
  <c r="Q51" s="1"/>
  <c r="Q55"/>
  <c r="T56"/>
  <c r="Q54"/>
  <c r="Q53"/>
  <c r="T59"/>
  <c r="V51"/>
  <c r="T55"/>
  <c r="T54"/>
  <c r="T53"/>
  <c r="V52"/>
  <c r="K135" i="9"/>
  <c r="F12" i="1"/>
  <c r="Q33" i="3"/>
  <c r="Q45" s="1"/>
  <c r="Q46" s="1"/>
  <c r="Q47" s="1"/>
  <c r="K122" i="9"/>
  <c r="I122"/>
  <c r="A21" i="1"/>
  <c r="D21"/>
  <c r="Q58" i="8" l="1"/>
  <c r="Q51" i="3"/>
  <c r="Q57" i="8"/>
  <c r="F6" i="1" l="1"/>
  <c r="Q53" i="3"/>
  <c r="Q52"/>
  <c r="Q54" l="1"/>
  <c r="Q55"/>
  <c r="K138" i="9" l="1"/>
  <c r="Q59" i="8"/>
  <c r="Q60" s="1"/>
  <c r="Q61" s="1"/>
  <c r="Q63" s="1"/>
  <c r="B66" s="1"/>
  <c r="K137" i="9"/>
  <c r="Q56" i="3"/>
  <c r="Q57" s="1"/>
  <c r="K140" i="9" l="1"/>
  <c r="Q66" i="8"/>
  <c r="K139" i="9"/>
  <c r="Q58" i="3"/>
  <c r="Q60" l="1"/>
  <c r="B63" s="1"/>
  <c r="A20" i="1" s="1"/>
  <c r="K141" i="9"/>
  <c r="K143" s="1"/>
  <c r="K145" s="1"/>
  <c r="Q63" i="3" l="1"/>
  <c r="D20" i="1" s="1"/>
</calcChain>
</file>

<file path=xl/sharedStrings.xml><?xml version="1.0" encoding="utf-8"?>
<sst xmlns="http://schemas.openxmlformats.org/spreadsheetml/2006/main" count="666" uniqueCount="382">
  <si>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</si>
  <si>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</si>
  <si>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</si>
  <si>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</si>
  <si>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</si>
  <si>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</si>
  <si>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</si>
  <si>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</si>
  <si>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</si>
  <si>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SI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</si>
  <si>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</si>
  <si>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</si>
  <si>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</si>
  <si>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</si>
  <si>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</si>
  <si>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</si>
  <si>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</si>
  <si>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</si>
  <si>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</si>
  <si>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</si>
  <si>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</si>
  <si>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</si>
  <si>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</si>
  <si>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</si>
  <si>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</si>
  <si>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</si>
  <si>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</si>
  <si>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</si>
  <si>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</si>
  <si>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</si>
  <si>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</si>
  <si>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</si>
  <si>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</si>
  <si>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</si>
  <si>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</si>
  <si>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</si>
  <si>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</si>
  <si>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</si>
  <si>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</si>
  <si>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</si>
  <si>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</si>
  <si>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</si>
  <si>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</si>
  <si>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</si>
  <si>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Surrender</t>
  </si>
  <si>
    <t>Bonus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</si>
  <si>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</si>
  <si>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</si>
  <si>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</si>
  <si>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</si>
  <si>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</si>
  <si>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</si>
  <si>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</si>
  <si>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</si>
  <si>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</si>
  <si>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</si>
  <si>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</si>
  <si>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</si>
  <si>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</si>
  <si>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</si>
  <si>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</si>
  <si>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</si>
  <si>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</si>
  <si>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H.R.A.</t>
  </si>
  <si>
    <t>HRA</t>
  </si>
  <si>
    <t>(xviii)</t>
  </si>
  <si>
    <t>Salary Arrear 1</t>
  </si>
  <si>
    <t>Salary Arrear 2</t>
  </si>
  <si>
    <t>Salary Arrear 3</t>
  </si>
  <si>
    <t>NAME :</t>
  </si>
  <si>
    <t>SR TEACHER</t>
  </si>
  <si>
    <t>AAAAAAAA</t>
  </si>
  <si>
    <t>2225617763</t>
  </si>
  <si>
    <t>A/C NO.</t>
  </si>
  <si>
    <t>MOB NO.</t>
  </si>
  <si>
    <t>BASIC+D.A.</t>
  </si>
  <si>
    <t>Bill No. &amp; T.V. No.</t>
  </si>
  <si>
    <t xml:space="preserve">WWW.RAJTEACHERS.NET </t>
  </si>
  <si>
    <t>RAJTEACHERS.NET</t>
  </si>
  <si>
    <t>Yes</t>
  </si>
  <si>
    <t>HITKARI NIDHI</t>
  </si>
  <si>
    <t>RPMF/RGHS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</si>
  <si>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</si>
  <si>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</si>
  <si>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</si>
  <si>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</si>
  <si>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</si>
  <si>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</si>
  <si>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</si>
  <si>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</si>
  <si>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</si>
  <si>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</si>
  <si>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</si>
  <si>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</si>
  <si>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</si>
  <si>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</si>
  <si>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</si>
  <si>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</si>
  <si>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</si>
  <si>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</si>
  <si>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</si>
  <si>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</si>
  <si>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</si>
  <si>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</si>
  <si>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</si>
  <si>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</si>
  <si>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</si>
  <si>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</si>
  <si>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</si>
  <si>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</si>
  <si>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</si>
  <si>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</si>
  <si>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</si>
  <si>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</si>
  <si>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</si>
  <si>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</si>
  <si>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</si>
  <si>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</si>
  <si>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</si>
  <si>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</si>
  <si>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</si>
  <si>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</si>
  <si>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</si>
  <si>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</si>
  <si>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</si>
  <si>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</si>
  <si>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</si>
  <si>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</si>
  <si>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</si>
  <si>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</si>
  <si>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</si>
  <si>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</si>
  <si>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</si>
  <si>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</si>
  <si>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</si>
  <si>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</si>
  <si>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</si>
  <si>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</si>
  <si>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</si>
  <si>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</si>
  <si>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</si>
  <si>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</si>
  <si>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</si>
  <si>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</si>
  <si>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</si>
  <si>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</si>
  <si>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</si>
  <si>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</si>
  <si>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</si>
  <si>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</si>
  <si>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</si>
  <si>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</si>
  <si>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</si>
  <si>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</si>
  <si>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</si>
  <si>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</si>
  <si>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</si>
  <si>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</si>
  <si>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</si>
  <si>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</si>
  <si>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</si>
  <si>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</si>
  <si>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</si>
  <si>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</si>
  <si>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</si>
  <si>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</si>
  <si>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</si>
  <si>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</si>
  <si>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</si>
  <si>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</si>
  <si>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</si>
  <si>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</si>
  <si>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</si>
  <si>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</si>
  <si>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</si>
  <si>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</si>
  <si>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</si>
  <si>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</si>
  <si>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</si>
  <si>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</si>
  <si>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</si>
  <si>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</si>
  <si>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</si>
  <si>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</si>
  <si>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</si>
  <si>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</si>
  <si>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</si>
  <si>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</si>
  <si>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</si>
  <si>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</si>
  <si>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</si>
  <si>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</si>
  <si>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</si>
  <si>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</si>
  <si>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</si>
  <si>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</si>
  <si>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</si>
  <si>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</si>
  <si>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</si>
  <si>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</si>
  <si>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</si>
  <si>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</si>
  <si>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</si>
  <si>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</si>
  <si>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</si>
  <si>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</si>
  <si>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</si>
  <si>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</si>
  <si>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</si>
  <si>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</si>
  <si>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</si>
  <si>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</si>
  <si>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</si>
  <si>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</si>
  <si>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</si>
  <si>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</si>
  <si>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</si>
  <si>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CM Corona Fund</t>
  </si>
  <si>
    <t>PARMANAND MEGHWAL</t>
  </si>
  <si>
    <t>DEDUCTIONS</t>
  </si>
  <si>
    <t>ALLOWANCES</t>
  </si>
  <si>
    <t>Please Install - Devlys 10 &amp; Krutidev 10 Fonts</t>
  </si>
  <si>
    <t>GPF 2004</t>
  </si>
  <si>
    <t>Surrender Month</t>
  </si>
  <si>
    <t>Senior Citizen</t>
  </si>
  <si>
    <t>Bounus</t>
  </si>
  <si>
    <t>(i) गृह किराया, धारा 10(13-A) के अंतर्गत जो कर मुक्त हैं।</t>
  </si>
  <si>
    <t xml:space="preserve">(ii) धारा 10(14) के अंतर्गत अन्य भत्ते </t>
  </si>
  <si>
    <t>रु.</t>
  </si>
  <si>
    <t>(i) मनोरंजन भत्ता धारा 16(ii) के अंतर्गत (अधिकतम सीमा रु. 5000)</t>
  </si>
  <si>
    <t>(ii) व्यवसाय कर धारा 16(iii) के अंतर्गत</t>
  </si>
  <si>
    <t>(iii) स्टेंडर्ड डिडक्शन (Standard Deduction) 50,000 (अधिकतम)</t>
  </si>
  <si>
    <t xml:space="preserve">                                                शेष (2-3)</t>
  </si>
  <si>
    <t xml:space="preserve">                                                                                             शेष (4-5)</t>
  </si>
  <si>
    <t>(अ) गृह संपत्ति से आय (1)स्वयं के उपयोग में शून्य</t>
  </si>
  <si>
    <t>(2) प्राप्त किराया रु.</t>
  </si>
  <si>
    <t>(ब) घटाये</t>
  </si>
  <si>
    <t>किराए का 30%</t>
  </si>
  <si>
    <t>गृह ऋण पर ब्याज</t>
  </si>
  <si>
    <t>गृहकर</t>
  </si>
  <si>
    <t>योग 7(ब)</t>
  </si>
  <si>
    <t xml:space="preserve">                                                        कुल शेष -/+(6  एवं 7)</t>
  </si>
  <si>
    <t xml:space="preserve">                                            शेष -/+(7(अ) एवं योग 7(ब) का</t>
  </si>
  <si>
    <t>अन्य आय</t>
  </si>
  <si>
    <t>सकल आय                                                                                                                                          योग (8+9)</t>
  </si>
  <si>
    <t>(A) अधिकतम सीमा 1,50,000/- (धारा 80CCE) के अलावा</t>
  </si>
  <si>
    <t>राज्य बीमा (SI)</t>
  </si>
  <si>
    <t>जीवन बीमा प्रीमियम (LIC)</t>
  </si>
  <si>
    <t>राष्ट्रीय बचत पत्र (NSC)</t>
  </si>
  <si>
    <t>लोक भविष्य निधि (PPF)</t>
  </si>
  <si>
    <t>राष्ट्रीय बचत स्कीम (NSS)</t>
  </si>
  <si>
    <t>सामान्य प्रावधायी निधि (GPF/GPF 2004)</t>
  </si>
  <si>
    <t>सामूहिक बीमा प्रीमियम (G.Ins.)</t>
  </si>
  <si>
    <t>यू.एल.आई.पी./वार्षिक प्लान</t>
  </si>
  <si>
    <t>गृह ऋण किश्त (HBA Premium)</t>
  </si>
  <si>
    <t>पेंशन प्लान हेतु अंशदान धारा (80CCC)</t>
  </si>
  <si>
    <t>राष्ट्रीय बचत पत्र पर आदत्त ब्याज</t>
  </si>
  <si>
    <t>ट्यूशन फीस</t>
  </si>
  <si>
    <t xml:space="preserve">योग (i से XViii) </t>
  </si>
  <si>
    <t xml:space="preserve">योग 11(A+B+C)      </t>
  </si>
  <si>
    <t>अधिकतम कटौती की राशि 1.50 लाख रु. तक</t>
  </si>
  <si>
    <t>(B) घटाइए - धारा 80CCD 1(B) नवीन पेंशन योजना में अतिरिक्त अंशदान (अधिकतम रु. 50,000)</t>
  </si>
  <si>
    <t>अन्य कटौतियाँ</t>
  </si>
  <si>
    <t>1-धारा 80D, चिकित्सा बीमा प्रीमियम (स्वयं, पति/पत्नी व बच्चों के लिए रु. 25000, माता-पिता के लिए रु. 25000, सीनियर सिटीजन  रु. 50,000)</t>
  </si>
  <si>
    <t>3-धारा 80D विशीष्ट रोगों के उपचार हेतु कटौती (अधिकतम रु. 40,000 , सीनियर सिटीजन  हेतु रु. 100,000)</t>
  </si>
  <si>
    <t>2-धारा 80D, विकलांग आश्रितों के चिकित्सा आश्रितों के चिकित्सा उपचार (अधिकतम 75,000 तथा 80% या अधिक विकलांगता रु. 125000)</t>
  </si>
  <si>
    <t>4-धारा 80D, उच्च शिक्षा हेतु लिए ऋण का ब्याज</t>
  </si>
  <si>
    <t>5-धारा 80D धर्मार्थ संस्थाओं आदि को दिये दान (क श्रेणी में 100 प्रतिशत एवं ख श्रेणी में 50 प्रतिशत)</t>
  </si>
  <si>
    <t>6-धारा 80U स्थाई रूप से शारीरिक असमर्थता की दशा में (अधिकतम 75,000 तथा अधिनियम 1995 के अनुसार 125,000)</t>
  </si>
  <si>
    <t>7-धारा 80 TTA बचत खाते पर अधिकतम ब्याज रु. 10,000 194(1A) (80TTB-वरिष्ठ नागरिक अधिकतम ब्याज 50,000 रु.)</t>
  </si>
  <si>
    <t>8-धारा  80GGA अनुमोदित वैज्ञानिक, सामाजिक, ग्रामीण विकास आदि हेतु दिया गया दान</t>
  </si>
  <si>
    <t xml:space="preserve">9-धारा 80GGC राजनीतिक पार्टियों को दिया गया दान </t>
  </si>
  <si>
    <t>कुल योग 12 (1 से 9 तक)</t>
  </si>
  <si>
    <t>कुल कटौती ( 11 + 12)</t>
  </si>
  <si>
    <t>कर योग्य आय ( 10-13 )</t>
  </si>
  <si>
    <t>कुल आय की राशि को सम्पूर्ण करना (दस के गुणज में करना) धारा 288A</t>
  </si>
  <si>
    <t xml:space="preserve">आय की गणना उपरोक्त कॉलम 15 के आधार पर </t>
  </si>
  <si>
    <t>एक व्यक्ति कर दाता</t>
  </si>
  <si>
    <t>वरिष्ठ नागरिक (60 से 80 वर्ष तक)</t>
  </si>
  <si>
    <t>80 वर्ष या अधिक आयु</t>
  </si>
  <si>
    <t>2,50,000 तक</t>
  </si>
  <si>
    <t>3,00,000 तक</t>
  </si>
  <si>
    <t>5,00,000 तक</t>
  </si>
  <si>
    <t>10,00,000 से अधिक</t>
  </si>
  <si>
    <t>(1) योग आयकर</t>
  </si>
  <si>
    <t>(2) छूट धारा 87(A) (2.50 लाख से 5.00 लाख तक की कर योग्य आय पर आयकर की छूट अधिकतम रु. 12,500 तक)</t>
  </si>
  <si>
    <t>(3) शेष आयकर (1-2)</t>
  </si>
  <si>
    <t>(4) शिक्षा उपकार 2% एवं उच्च शिक्षा के लिए अधिभार 2% (योग 4%)</t>
  </si>
  <si>
    <t>कुल आयकर (3+4)</t>
  </si>
  <si>
    <t>घटाइए : राहत धारा 89 के तहत</t>
  </si>
  <si>
    <t>कुल शेष आयकर</t>
  </si>
  <si>
    <t>आयकर कटौती का विवरण</t>
  </si>
  <si>
    <t>टी.डी.एस. रु.</t>
  </si>
  <si>
    <t>योग कॉलम 19</t>
  </si>
  <si>
    <t>हस्ताक्षर कार्मिक</t>
  </si>
  <si>
    <t>हस्ताक्षर डीडीओ</t>
  </si>
  <si>
    <t>पद :</t>
  </si>
  <si>
    <t>नाम कर्मचारी :</t>
  </si>
  <si>
    <t>वेतन के अतिरिक्त कटौतियाँ, आय/जमा राशि एवं छूट का</t>
  </si>
  <si>
    <t>1. मकान किराया भत्ता (छूट जो लेनी हैं।)</t>
  </si>
  <si>
    <t>2. मनोरंजन भत्ता धारा 16(ii) के अंतर्गत</t>
  </si>
  <si>
    <t>3. व्यवसाय कर धारा 16(iii) के अंतर्गत</t>
  </si>
  <si>
    <t>5. गृहकर</t>
  </si>
  <si>
    <t>4. गृह संपत्ति से प्राप्त किराया - आय</t>
  </si>
  <si>
    <t>6. गृह ऋण किस्त मूल (जो वेतन से नहीं काटा गया)</t>
  </si>
  <si>
    <t>7. गृह ऋण किस्त ब्याज (जो वेतन से नहीं काटा गया)</t>
  </si>
  <si>
    <t>8. जीवन बीमा प्रीमियम जो  (जो वेतन से नहीं काटा गया) LIC</t>
  </si>
  <si>
    <t>9. पी.एल.आई. (PLI)</t>
  </si>
  <si>
    <t>10. ट्यूशन फीस (Tution Fees)</t>
  </si>
  <si>
    <t>11. यू.एल.आई.पी./वार्षिक प्लान</t>
  </si>
  <si>
    <t>12. राष्ट्रीय बचत पत्र (NSC)</t>
  </si>
  <si>
    <t>14. लोक भविष्य निधि (PPF)</t>
  </si>
  <si>
    <t>15. राष्ट्रीय बचत स्कीम (NSS)</t>
  </si>
  <si>
    <t>13. राष्ट्रीय बचत पत्र पर अदत्त ब्याज</t>
  </si>
  <si>
    <t>स्थगित वार्षिकी (Defferred Annuty)</t>
  </si>
  <si>
    <t>पी.एल.आई. (PLI)</t>
  </si>
  <si>
    <t>अन्य जमा राशि (80C के अंतर्गत)</t>
  </si>
  <si>
    <t>सुकन्या समृद्धि योजना में जमा राशि</t>
  </si>
  <si>
    <t>16. सुकन्या समृद्धि योजना में जमा राशि (SSY)</t>
  </si>
  <si>
    <t>18. बचत खाते की जमा राशि पर प्राप्त ब्याज (80 TTA/80 TTB) हेतु</t>
  </si>
  <si>
    <t>20. अन्य जमा राशि (धारा 80C के अंतर्गत)</t>
  </si>
  <si>
    <t>22. 80CCD(1B) - नवीन पेंशन योजना में अतिरिक्त अंशदान (अधिकतम रु. 50,000)</t>
  </si>
  <si>
    <t>24. धारा 80DD विकलांग आश्रितों के चिकित्सा उपचार (अधिकतम: 75,000 व वरिष्ठ नागरिक 125,000)</t>
  </si>
  <si>
    <t>23. धारा 80D - चिकित्सा बीमा प्रीमियम (सामान्य-25,000 व वरिष्ठ नागरिक 50,000)</t>
  </si>
  <si>
    <t>26. धारा 80E उच्च शिक्षा हेतु लिए ऋण का ब्याज (धारा 10E)</t>
  </si>
  <si>
    <t>25. धारा 80DDB - विशिष्ट रोगों के उपचार हेतु (सामान्य 40,000 , वरिष्ठ नागरिक 1 लाख)</t>
  </si>
  <si>
    <t>21. धारा 80CCC -पेंशन प्लान हेतु अंशदान (एनपीएस के अलावा)</t>
  </si>
  <si>
    <t>19. अन्य आय - (एफडी पर ब्याज, अन्य ब्याज या अन्य स्त्रोत से आय आदि का योग)</t>
  </si>
  <si>
    <t>28. धारा 80U स्थाई रूप से शारीरिक असमर्थता की दशा में (अधिकतम 75,000 तथा अधिनियम 1995 के अनुसार 125,000)</t>
  </si>
  <si>
    <t>29. धारा  80GGA अनुमोदित वैज्ञानिक, सामाजिक, ग्रामीण विकास आदि हेतु दिया गया दान</t>
  </si>
  <si>
    <t>30. इक्विटी लिंक सेविंग स्कीम</t>
  </si>
  <si>
    <t xml:space="preserve"> इक्विटी लिंक सेविंग स्कीम</t>
  </si>
  <si>
    <t>31. स्थगित वार्षिकी (Defferred Annuty)</t>
  </si>
  <si>
    <t>मकान किराया छूट के रशीद की आवश्यकता</t>
  </si>
  <si>
    <t xml:space="preserve">17. धारा 10(14) के अंतर्गत अन्य भत्ते </t>
  </si>
  <si>
    <t>32.  राहत धारा 89 के तहत</t>
  </si>
  <si>
    <t>33. वेतन बिल के अलावा जमा कराया गया आयकर (TDS)</t>
  </si>
  <si>
    <t xml:space="preserve">34. धारा 80GGC राजनीतिक पार्टियों को दिया गया दान </t>
  </si>
  <si>
    <t>घटाइए कटौतियाँ - धारा US 80C, 80CCC,80CCD (1)</t>
  </si>
  <si>
    <t xml:space="preserve">  योग 11(A+B+C)      </t>
  </si>
  <si>
    <t>27. धारा 80G धर्मार्थ संस्थाओं आदि को दिये दान (क श्रेणी में 100 प्रतिशत एवं ख श्रेणी में 50 प्रतिशत)</t>
  </si>
  <si>
    <t>5-धारा 80G धर्मार्थ संस्थाओं आदि को दिये दान (क श्रेणी में 100 प्रतिशत एवं ख श्रेणी में 50 प्रतिशत)</t>
  </si>
  <si>
    <t>GOVT SR. SEC SCHOOL DILOD GORDHANPURA, ATRU BARAN</t>
  </si>
  <si>
    <r>
      <t xml:space="preserve">                                                                                                             शेष</t>
    </r>
    <r>
      <rPr>
        <sz val="11"/>
        <rFont val="Calibri"/>
        <family val="2"/>
        <scheme val="minor"/>
      </rPr>
      <t xml:space="preserve"> (4-5)</t>
    </r>
  </si>
  <si>
    <t xml:space="preserve">                                                                                                 शेष (4-5)</t>
  </si>
  <si>
    <t>Surrender  Arrear</t>
  </si>
  <si>
    <t>(4) शेष आयकर (1-2)</t>
  </si>
  <si>
    <t>(5) शिक्षा उपकार 2% एवं उच्च शिक्षा के लिए अधिभार 2% (योग 4%)</t>
  </si>
  <si>
    <t>SELECT TAX REGIME OPTION</t>
  </si>
  <si>
    <t>RAJENDRA KUMAR CHITTORA</t>
  </si>
  <si>
    <t>PRINCIPAL</t>
  </si>
  <si>
    <t>BHANWAR LAL</t>
  </si>
  <si>
    <t>XXXXXXXXX</t>
  </si>
  <si>
    <t>(iii) स्टेंडर्ड डिडक्शन (Standard Deduction) 75,000 (अधिकतम)</t>
  </si>
  <si>
    <t>NEW REGIME</t>
  </si>
  <si>
    <t>सितम्बर 2025 तक रु.</t>
  </si>
  <si>
    <t>दिसम्बर 2025 तक रु.</t>
  </si>
  <si>
    <t>जनवरी 2026 तक रु.</t>
  </si>
  <si>
    <t>फरवरी 2026 तक रु.</t>
  </si>
  <si>
    <t>4,00,000 तक</t>
  </si>
  <si>
    <t>4,00,001-8,00,000</t>
  </si>
  <si>
    <t>8,00,000 तक</t>
  </si>
  <si>
    <t>8,00,001-12,00,000</t>
  </si>
  <si>
    <t>12,00,001-16,00,000</t>
  </si>
  <si>
    <t>16,00,001-20,00,000</t>
  </si>
  <si>
    <t>20,00,001-24,00,000</t>
  </si>
  <si>
    <t>24,00,001 से अधिक</t>
  </si>
  <si>
    <t>(2) छूट धारा 87(A) पर आयकर की छूट अधिकतम रु. 60,000 तक या छूट धारा 115BAC(1) (Marginal Relief)</t>
  </si>
  <si>
    <t>newtrue</t>
  </si>
  <si>
    <t>(B)घटाइये- धारा 80CCD(2) नियोक्ता द्वारा पेंशन अंशदान की राशि (अधिकतम वेतन का 14 % ) पृथक से छूट</t>
  </si>
  <si>
    <t>INCOME TAX CALCULATION (GA-55) FY-2026-27</t>
  </si>
  <si>
    <t>DA Arrear 60%</t>
  </si>
  <si>
    <t>DA Arrear</t>
  </si>
  <si>
    <t>आयकर गणना प्रपत्र वर्ष 2026-27 (कर निर्धारण वर्ष 2027-28)</t>
  </si>
  <si>
    <t>आय: वर्ष-2026-27 में प्राप्त कुल वेतन (कर योग्य सुविधाओं के मूल्य सहित)</t>
  </si>
  <si>
    <t>सितम्बर 2026 तक रु.</t>
  </si>
  <si>
    <t>दिसम्बर 2026 तक रु.</t>
  </si>
  <si>
    <t>जनवरी 2027 तक रु.</t>
  </si>
  <si>
    <t>फरवरी 2027 तक रु.</t>
  </si>
  <si>
    <t>2027-28</t>
  </si>
  <si>
    <t>01.04.2026</t>
  </si>
  <si>
    <t>31.03.2027</t>
  </si>
</sst>
</file>

<file path=xl/styles.xml><?xml version="1.0" encoding="utf-8"?>
<styleSheet xmlns="http://schemas.openxmlformats.org/spreadsheetml/2006/main">
  <numFmts count="1">
    <numFmt numFmtId="164" formatCode="_(* #,##0.00_);_(* \(#,##0.00\);_(* &quot;-&quot;??_);_(@_)"/>
  </numFmts>
  <fonts count="83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sz val="10"/>
      <name val="Tahoma"/>
      <family val="2"/>
    </font>
    <font>
      <sz val="10"/>
      <name val="Arial"/>
      <family val="2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6"/>
      <name val="Arial"/>
      <family val="2"/>
    </font>
    <font>
      <b/>
      <sz val="18"/>
      <name val="Times New Roman"/>
      <family val="1"/>
    </font>
    <font>
      <b/>
      <sz val="12"/>
      <color theme="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  <scheme val="minor"/>
    </font>
    <font>
      <b/>
      <i/>
      <u/>
      <sz val="16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DevLys 010"/>
    </font>
    <font>
      <sz val="11"/>
      <name val="DevLys 010"/>
    </font>
    <font>
      <b/>
      <sz val="11"/>
      <name val="Kruti Dev 010"/>
    </font>
    <font>
      <b/>
      <sz val="22"/>
      <color theme="0"/>
      <name val="Calibri"/>
      <family val="2"/>
      <scheme val="minor"/>
    </font>
    <font>
      <b/>
      <sz val="18"/>
      <color theme="0"/>
      <name val="Tahoma"/>
      <family val="2"/>
    </font>
    <font>
      <b/>
      <sz val="18"/>
      <name val="Tahoma"/>
      <family val="2"/>
    </font>
    <font>
      <b/>
      <u/>
      <sz val="14"/>
      <name val="Calibri"/>
      <family val="2"/>
      <scheme val="minor"/>
    </font>
    <font>
      <sz val="11"/>
      <color theme="1"/>
      <name val="Calibri"/>
      <family val="2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8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164" fontId="58" fillId="0" borderId="0" applyFont="0" applyFill="0" applyBorder="0" applyAlignment="0" applyProtection="0"/>
    <xf numFmtId="0" fontId="5" fillId="0" borderId="0"/>
    <xf numFmtId="9" fontId="65" fillId="0" borderId="0" applyFont="0" applyFill="0" applyBorder="0" applyAlignment="0" applyProtection="0"/>
  </cellStyleXfs>
  <cellXfs count="592">
    <xf numFmtId="0" fontId="0" fillId="0" borderId="0" xfId="0"/>
    <xf numFmtId="2" fontId="1" fillId="0" borderId="0" xfId="0" applyNumberFormat="1" applyFont="1"/>
    <xf numFmtId="2" fontId="8" fillId="24" borderId="0" xfId="0" applyNumberFormat="1" applyFont="1" applyFill="1" applyAlignment="1">
      <alignment horizontal="left"/>
    </xf>
    <xf numFmtId="0" fontId="3" fillId="0" borderId="0" xfId="0" applyFont="1"/>
    <xf numFmtId="0" fontId="1" fillId="0" borderId="0" xfId="37" applyFont="1"/>
    <xf numFmtId="0" fontId="27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0" fontId="0" fillId="0" borderId="0" xfId="0" applyAlignment="1">
      <alignment vertical="center"/>
    </xf>
    <xf numFmtId="0" fontId="29" fillId="0" borderId="0" xfId="37" applyFont="1" applyAlignment="1">
      <alignment horizontal="right" vertical="center"/>
    </xf>
    <xf numFmtId="0" fontId="1" fillId="0" borderId="0" xfId="37" applyFont="1" applyAlignment="1">
      <alignment horizontal="right" vertical="center"/>
    </xf>
    <xf numFmtId="2" fontId="31" fillId="0" borderId="0" xfId="37" applyNumberFormat="1" applyFont="1" applyAlignment="1">
      <alignment horizontal="right" vertical="center"/>
    </xf>
    <xf numFmtId="2" fontId="1" fillId="0" borderId="0" xfId="0" applyNumberFormat="1" applyFont="1" applyAlignment="1">
      <alignment vertical="center"/>
    </xf>
    <xf numFmtId="2" fontId="8" fillId="24" borderId="0" xfId="0" applyNumberFormat="1" applyFont="1" applyFill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0" fillId="31" borderId="17" xfId="0" applyNumberFormat="1" applyFont="1" applyFill="1" applyBorder="1" applyAlignment="1">
      <alignment horizontal="center" vertical="center"/>
    </xf>
    <xf numFmtId="1" fontId="51" fillId="30" borderId="0" xfId="0" applyNumberFormat="1" applyFont="1" applyFill="1" applyAlignment="1">
      <alignment horizontal="center" vertical="center"/>
    </xf>
    <xf numFmtId="1" fontId="51" fillId="31" borderId="0" xfId="0" applyNumberFormat="1" applyFont="1" applyFill="1" applyAlignment="1">
      <alignment horizontal="center" vertical="center"/>
    </xf>
    <xf numFmtId="1" fontId="51" fillId="29" borderId="0" xfId="0" applyNumberFormat="1" applyFont="1" applyFill="1" applyAlignment="1">
      <alignment horizontal="center" vertical="center"/>
    </xf>
    <xf numFmtId="2" fontId="51" fillId="29" borderId="0" xfId="0" applyNumberFormat="1" applyFont="1" applyFill="1" applyAlignment="1">
      <alignment horizontal="center" vertical="center"/>
    </xf>
    <xf numFmtId="2" fontId="30" fillId="29" borderId="0" xfId="0" applyNumberFormat="1" applyFont="1" applyFill="1" applyAlignment="1" applyProtection="1">
      <alignment horizontal="center"/>
      <protection locked="0"/>
    </xf>
    <xf numFmtId="2" fontId="30" fillId="29" borderId="0" xfId="0" applyNumberFormat="1" applyFont="1" applyFill="1" applyAlignment="1">
      <alignment horizontal="left"/>
    </xf>
    <xf numFmtId="2" fontId="30" fillId="33" borderId="0" xfId="0" applyNumberFormat="1" applyFont="1" applyFill="1" applyAlignment="1" applyProtection="1">
      <alignment horizontal="center" vertical="center"/>
      <protection locked="0"/>
    </xf>
    <xf numFmtId="2" fontId="30" fillId="33" borderId="0" xfId="0" applyNumberFormat="1" applyFont="1" applyFill="1" applyAlignment="1">
      <alignment horizontal="left"/>
    </xf>
    <xf numFmtId="2" fontId="30" fillId="33" borderId="0" xfId="0" applyNumberFormat="1" applyFont="1" applyFill="1" applyAlignment="1" applyProtection="1">
      <alignment horizontal="center"/>
      <protection locked="0"/>
    </xf>
    <xf numFmtId="2" fontId="52" fillId="34" borderId="17" xfId="0" applyNumberFormat="1" applyFont="1" applyFill="1" applyBorder="1" applyAlignment="1">
      <alignment horizontal="center"/>
    </xf>
    <xf numFmtId="0" fontId="8" fillId="36" borderId="0" xfId="0" applyFont="1" applyFill="1" applyAlignment="1">
      <alignment vertical="top"/>
    </xf>
    <xf numFmtId="0" fontId="28" fillId="36" borderId="0" xfId="0" applyFont="1" applyFill="1" applyAlignment="1">
      <alignment vertical="top"/>
    </xf>
    <xf numFmtId="0" fontId="8" fillId="36" borderId="0" xfId="0" applyFont="1" applyFill="1" applyAlignment="1" applyProtection="1">
      <alignment vertical="top"/>
      <protection locked="0"/>
    </xf>
    <xf numFmtId="0" fontId="1" fillId="0" borderId="30" xfId="37" applyFont="1" applyBorder="1" applyAlignment="1" applyProtection="1">
      <alignment horizontal="center" vertical="center"/>
      <protection hidden="1"/>
    </xf>
    <xf numFmtId="0" fontId="32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2" fontId="34" fillId="0" borderId="10" xfId="37" applyNumberFormat="1" applyFont="1" applyBorder="1" applyAlignment="1" applyProtection="1">
      <alignment horizontal="center" vertical="center"/>
      <protection hidden="1"/>
    </xf>
    <xf numFmtId="2" fontId="34" fillId="25" borderId="10" xfId="37" applyNumberFormat="1" applyFont="1" applyFill="1" applyBorder="1" applyAlignment="1" applyProtection="1">
      <alignment horizontal="center" vertical="center"/>
      <protection hidden="1"/>
    </xf>
    <xf numFmtId="2" fontId="35" fillId="0" borderId="10" xfId="37" applyNumberFormat="1" applyFont="1" applyBorder="1" applyAlignment="1" applyProtection="1">
      <alignment horizontal="center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6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1" fillId="0" borderId="21" xfId="37" applyNumberFormat="1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1" fontId="31" fillId="0" borderId="10" xfId="37" applyNumberFormat="1" applyFont="1" applyBorder="1" applyAlignment="1" applyProtection="1">
      <alignment horizontal="center" vertical="center" wrapText="1"/>
      <protection hidden="1"/>
    </xf>
    <xf numFmtId="2" fontId="31" fillId="0" borderId="29" xfId="37" applyNumberFormat="1" applyFont="1" applyBorder="1" applyAlignment="1" applyProtection="1">
      <alignment horizontal="right" vertical="center"/>
      <protection hidden="1"/>
    </xf>
    <xf numFmtId="0" fontId="5" fillId="35" borderId="0" xfId="0" applyFont="1" applyFill="1" applyAlignment="1">
      <alignment vertical="top"/>
    </xf>
    <xf numFmtId="0" fontId="5" fillId="35" borderId="40" xfId="0" applyFont="1" applyFill="1" applyBorder="1" applyAlignment="1">
      <alignment vertical="top"/>
    </xf>
    <xf numFmtId="0" fontId="5" fillId="35" borderId="41" xfId="0" applyFont="1" applyFill="1" applyBorder="1" applyAlignment="1">
      <alignment vertical="top"/>
    </xf>
    <xf numFmtId="0" fontId="28" fillId="35" borderId="0" xfId="0" applyFont="1" applyFill="1" applyAlignment="1">
      <alignment vertical="top"/>
    </xf>
    <xf numFmtId="0" fontId="28" fillId="35" borderId="41" xfId="0" applyFont="1" applyFill="1" applyBorder="1" applyAlignment="1">
      <alignment vertical="top"/>
    </xf>
    <xf numFmtId="0" fontId="36" fillId="35" borderId="0" xfId="0" applyFont="1" applyFill="1" applyAlignment="1">
      <alignment horizontal="center" textRotation="90" wrapText="1"/>
    </xf>
    <xf numFmtId="0" fontId="36" fillId="35" borderId="41" xfId="0" applyFont="1" applyFill="1" applyBorder="1" applyAlignment="1">
      <alignment horizontal="center" textRotation="90" wrapText="1"/>
    </xf>
    <xf numFmtId="0" fontId="32" fillId="35" borderId="0" xfId="0" applyFont="1" applyFill="1" applyAlignment="1">
      <alignment vertical="center"/>
    </xf>
    <xf numFmtId="0" fontId="32" fillId="35" borderId="41" xfId="0" applyFont="1" applyFill="1" applyBorder="1" applyAlignment="1">
      <alignment vertical="center"/>
    </xf>
    <xf numFmtId="0" fontId="36" fillId="35" borderId="0" xfId="0" applyFont="1" applyFill="1" applyAlignment="1">
      <alignment horizontal="center" vertical="center" textRotation="90"/>
    </xf>
    <xf numFmtId="0" fontId="36" fillId="35" borderId="53" xfId="0" applyFont="1" applyFill="1" applyBorder="1" applyAlignment="1">
      <alignment horizontal="center" vertical="center" textRotation="90"/>
    </xf>
    <xf numFmtId="0" fontId="4" fillId="35" borderId="0" xfId="0" applyFont="1" applyFill="1" applyAlignment="1">
      <alignment vertical="top" textRotation="90"/>
    </xf>
    <xf numFmtId="17" fontId="38" fillId="36" borderId="22" xfId="0" applyNumberFormat="1" applyFont="1" applyFill="1" applyBorder="1" applyAlignment="1">
      <alignment horizontal="center" vertical="center"/>
    </xf>
    <xf numFmtId="0" fontId="32" fillId="36" borderId="10" xfId="0" applyFont="1" applyFill="1" applyBorder="1" applyAlignment="1" applyProtection="1">
      <alignment horizontal="center" vertical="center"/>
      <protection locked="0" hidden="1"/>
    </xf>
    <xf numFmtId="0" fontId="36" fillId="36" borderId="10" xfId="0" applyFont="1" applyFill="1" applyBorder="1" applyAlignment="1" applyProtection="1">
      <alignment horizontal="center" vertical="center"/>
      <protection hidden="1"/>
    </xf>
    <xf numFmtId="0" fontId="32" fillId="36" borderId="10" xfId="0" applyFont="1" applyFill="1" applyBorder="1" applyAlignment="1" applyProtection="1">
      <alignment vertical="center"/>
      <protection locked="0"/>
    </xf>
    <xf numFmtId="0" fontId="32" fillId="36" borderId="10" xfId="0" applyFont="1" applyFill="1" applyBorder="1" applyAlignment="1" applyProtection="1">
      <alignment horizontal="center" vertical="center"/>
      <protection locked="0"/>
    </xf>
    <xf numFmtId="1" fontId="32" fillId="36" borderId="10" xfId="0" applyNumberFormat="1" applyFont="1" applyFill="1" applyBorder="1" applyAlignment="1" applyProtection="1">
      <alignment horizontal="center" vertical="center"/>
      <protection hidden="1"/>
    </xf>
    <xf numFmtId="1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21" xfId="0" applyFont="1" applyFill="1" applyBorder="1" applyAlignment="1" applyProtection="1">
      <alignment horizontal="center" vertical="center"/>
      <protection locked="0" hidden="1"/>
    </xf>
    <xf numFmtId="2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17" fontId="32" fillId="36" borderId="22" xfId="0" applyNumberFormat="1" applyFont="1" applyFill="1" applyBorder="1" applyAlignment="1" applyProtection="1">
      <alignment horizontal="center" vertical="center"/>
      <protection locked="0"/>
    </xf>
    <xf numFmtId="17" fontId="32" fillId="36" borderId="22" xfId="0" applyNumberFormat="1" applyFont="1" applyFill="1" applyBorder="1" applyAlignment="1">
      <alignment horizontal="center" vertical="center"/>
    </xf>
    <xf numFmtId="0" fontId="36" fillId="36" borderId="27" xfId="0" applyFont="1" applyFill="1" applyBorder="1" applyAlignment="1">
      <alignment horizontal="center" vertical="center" textRotation="90"/>
    </xf>
    <xf numFmtId="0" fontId="45" fillId="36" borderId="28" xfId="0" applyFont="1" applyFill="1" applyBorder="1" applyAlignment="1" applyProtection="1">
      <alignment horizontal="center" vertical="center" textRotation="90"/>
      <protection hidden="1"/>
    </xf>
    <xf numFmtId="2" fontId="45" fillId="36" borderId="28" xfId="0" applyNumberFormat="1" applyFont="1" applyFill="1" applyBorder="1" applyAlignment="1" applyProtection="1">
      <alignment horizontal="center" vertical="center" textRotation="90"/>
      <protection hidden="1"/>
    </xf>
    <xf numFmtId="1" fontId="45" fillId="36" borderId="28" xfId="0" applyNumberFormat="1" applyFont="1" applyFill="1" applyBorder="1" applyAlignment="1" applyProtection="1">
      <alignment horizontal="center" vertical="center" textRotation="90"/>
      <protection hidden="1"/>
    </xf>
    <xf numFmtId="0" fontId="36" fillId="36" borderId="29" xfId="0" applyFont="1" applyFill="1" applyBorder="1" applyAlignment="1" applyProtection="1">
      <alignment horizontal="center" vertical="center" textRotation="90"/>
      <protection hidden="1"/>
    </xf>
    <xf numFmtId="0" fontId="4" fillId="36" borderId="0" xfId="0" applyFont="1" applyFill="1" applyAlignment="1">
      <alignment vertical="top" textRotation="90"/>
    </xf>
    <xf numFmtId="0" fontId="5" fillId="36" borderId="0" xfId="0" applyFont="1" applyFill="1" applyAlignment="1">
      <alignment vertical="top"/>
    </xf>
    <xf numFmtId="0" fontId="4" fillId="36" borderId="0" xfId="0" applyFont="1" applyFill="1" applyAlignment="1">
      <alignment horizontal="center" vertical="top"/>
    </xf>
    <xf numFmtId="0" fontId="0" fillId="35" borderId="0" xfId="0" applyFill="1"/>
    <xf numFmtId="1" fontId="64" fillId="35" borderId="0" xfId="0" applyNumberFormat="1" applyFont="1" applyFill="1" applyProtection="1">
      <protection locked="0"/>
    </xf>
    <xf numFmtId="1" fontId="64" fillId="35" borderId="35" xfId="0" applyNumberFormat="1" applyFont="1" applyFill="1" applyBorder="1" applyProtection="1">
      <protection locked="0"/>
    </xf>
    <xf numFmtId="1" fontId="4" fillId="36" borderId="18" xfId="0" applyNumberFormat="1" applyFont="1" applyFill="1" applyBorder="1" applyProtection="1">
      <protection hidden="1"/>
    </xf>
    <xf numFmtId="1" fontId="5" fillId="36" borderId="17" xfId="0" applyNumberFormat="1" applyFont="1" applyFill="1" applyBorder="1" applyProtection="1">
      <protection hidden="1"/>
    </xf>
    <xf numFmtId="1" fontId="5" fillId="36" borderId="44" xfId="0" applyNumberFormat="1" applyFont="1" applyFill="1" applyBorder="1" applyProtection="1">
      <protection hidden="1"/>
    </xf>
    <xf numFmtId="1" fontId="4" fillId="36" borderId="36" xfId="0" applyNumberFormat="1" applyFont="1" applyFill="1" applyBorder="1" applyProtection="1">
      <protection hidden="1"/>
    </xf>
    <xf numFmtId="1" fontId="5" fillId="36" borderId="0" xfId="0" applyNumberFormat="1" applyFont="1" applyFill="1" applyProtection="1">
      <protection hidden="1"/>
    </xf>
    <xf numFmtId="1" fontId="5" fillId="36" borderId="46" xfId="0" applyNumberFormat="1" applyFont="1" applyFill="1" applyBorder="1" applyProtection="1">
      <protection hidden="1"/>
    </xf>
    <xf numFmtId="1" fontId="4" fillId="36" borderId="10" xfId="0" applyNumberFormat="1" applyFont="1" applyFill="1" applyBorder="1" applyAlignment="1" applyProtection="1">
      <alignment horizontal="center"/>
      <protection hidden="1"/>
    </xf>
    <xf numFmtId="1" fontId="4" fillId="36" borderId="16" xfId="0" applyNumberFormat="1" applyFont="1" applyFill="1" applyBorder="1" applyProtection="1">
      <protection hidden="1"/>
    </xf>
    <xf numFmtId="1" fontId="5" fillId="36" borderId="11" xfId="0" applyNumberFormat="1" applyFont="1" applyFill="1" applyBorder="1" applyProtection="1">
      <protection hidden="1"/>
    </xf>
    <xf numFmtId="1" fontId="5" fillId="36" borderId="48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50" xfId="0" applyNumberFormat="1" applyFont="1" applyFill="1" applyBorder="1" applyAlignment="1" applyProtection="1">
      <alignment horizontal="center"/>
      <protection hidden="1"/>
    </xf>
    <xf numFmtId="1" fontId="4" fillId="36" borderId="51" xfId="0" applyNumberFormat="1" applyFont="1" applyFill="1" applyBorder="1" applyProtection="1">
      <protection hidden="1"/>
    </xf>
    <xf numFmtId="1" fontId="5" fillId="36" borderId="0" xfId="0" applyNumberFormat="1" applyFont="1" applyFill="1" applyAlignment="1" applyProtection="1">
      <alignment horizontal="center"/>
      <protection hidden="1"/>
    </xf>
    <xf numFmtId="1" fontId="4" fillId="36" borderId="15" xfId="0" applyNumberFormat="1" applyFont="1" applyFill="1" applyBorder="1" applyProtection="1">
      <protection hidden="1"/>
    </xf>
    <xf numFmtId="1" fontId="61" fillId="36" borderId="16" xfId="45" applyNumberFormat="1" applyFont="1" applyFill="1" applyBorder="1" applyAlignment="1" applyProtection="1">
      <protection hidden="1"/>
    </xf>
    <xf numFmtId="1" fontId="61" fillId="36" borderId="11" xfId="45" applyNumberFormat="1" applyFont="1" applyFill="1" applyBorder="1" applyAlignment="1" applyProtection="1"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4" fillId="36" borderId="15" xfId="0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4" fillId="36" borderId="10" xfId="0" applyNumberFormat="1" applyFont="1" applyFill="1" applyBorder="1" applyProtection="1">
      <protection hidden="1"/>
    </xf>
    <xf numFmtId="1" fontId="5" fillId="36" borderId="18" xfId="45" applyNumberFormat="1" applyFont="1" applyFill="1" applyBorder="1" applyAlignment="1" applyProtection="1">
      <alignment horizontal="right"/>
      <protection hidden="1"/>
    </xf>
    <xf numFmtId="1" fontId="0" fillId="36" borderId="17" xfId="0" applyNumberFormat="1" applyFill="1" applyBorder="1" applyProtection="1">
      <protection hidden="1"/>
    </xf>
    <xf numFmtId="1" fontId="0" fillId="36" borderId="35" xfId="0" applyNumberFormat="1" applyFill="1" applyBorder="1" applyProtection="1">
      <protection hidden="1"/>
    </xf>
    <xf numFmtId="1" fontId="0" fillId="36" borderId="0" xfId="0" applyNumberFormat="1" applyFill="1" applyProtection="1">
      <protection hidden="1"/>
    </xf>
    <xf numFmtId="1" fontId="5" fillId="36" borderId="11" xfId="0" applyNumberFormat="1" applyFont="1" applyFill="1" applyBorder="1" applyAlignment="1" applyProtection="1">
      <alignment horizontal="center" vertical="center"/>
      <protection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1" fontId="7" fillId="36" borderId="0" xfId="45" applyNumberFormat="1" applyFont="1" applyFill="1" applyBorder="1" applyAlignment="1" applyProtection="1">
      <alignment vertical="center"/>
      <protection hidden="1"/>
    </xf>
    <xf numFmtId="1" fontId="5" fillId="36" borderId="0" xfId="45" applyNumberFormat="1" applyFont="1" applyFill="1" applyBorder="1" applyAlignment="1" applyProtection="1">
      <alignment horizontal="left" vertical="center"/>
      <protection hidden="1"/>
    </xf>
    <xf numFmtId="1" fontId="5" fillId="36" borderId="35" xfId="45" applyNumberFormat="1" applyFont="1" applyFill="1" applyBorder="1" applyAlignment="1" applyProtection="1">
      <alignment horizontal="left" vertical="center"/>
      <protection hidden="1"/>
    </xf>
    <xf numFmtId="1" fontId="5" fillId="36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0" applyNumberFormat="1" applyFont="1" applyFill="1" applyBorder="1" applyProtection="1">
      <protection hidden="1"/>
    </xf>
    <xf numFmtId="1" fontId="5" fillId="36" borderId="36" xfId="0" applyNumberFormat="1" applyFont="1" applyFill="1" applyBorder="1" applyProtection="1">
      <protection hidden="1"/>
    </xf>
    <xf numFmtId="1" fontId="4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36" xfId="45" applyNumberFormat="1" applyFont="1" applyFill="1" applyBorder="1" applyProtection="1">
      <protection hidden="1"/>
    </xf>
    <xf numFmtId="1" fontId="63" fillId="36" borderId="0" xfId="45" applyNumberFormat="1" applyFont="1" applyFill="1" applyBorder="1" applyProtection="1">
      <protection hidden="1"/>
    </xf>
    <xf numFmtId="1" fontId="5" fillId="36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36" borderId="36" xfId="45" applyNumberFormat="1" applyFont="1" applyFill="1" applyBorder="1" applyProtection="1">
      <protection hidden="1"/>
    </xf>
    <xf numFmtId="1" fontId="7" fillId="36" borderId="0" xfId="45" applyNumberFormat="1" applyFont="1" applyFill="1" applyBorder="1" applyProtection="1">
      <protection hidden="1"/>
    </xf>
    <xf numFmtId="1" fontId="5" fillId="36" borderId="35" xfId="45" applyNumberFormat="1" applyFont="1" applyFill="1" applyBorder="1" applyProtection="1">
      <protection hidden="1"/>
    </xf>
    <xf numFmtId="1" fontId="5" fillId="36" borderId="51" xfId="45" applyNumberFormat="1" applyFont="1" applyFill="1" applyBorder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5" fillId="36" borderId="35" xfId="45" quotePrefix="1" applyNumberFormat="1" applyFont="1" applyFill="1" applyBorder="1" applyProtection="1">
      <protection hidden="1"/>
    </xf>
    <xf numFmtId="1" fontId="5" fillId="36" borderId="16" xfId="45" applyNumberFormat="1" applyFont="1" applyFill="1" applyBorder="1" applyProtection="1">
      <protection hidden="1"/>
    </xf>
    <xf numFmtId="1" fontId="5" fillId="36" borderId="51" xfId="45" applyNumberFormat="1" applyFont="1" applyFill="1" applyBorder="1" applyAlignment="1" applyProtection="1">
      <alignment horizontal="center"/>
      <protection hidden="1"/>
    </xf>
    <xf numFmtId="1" fontId="4" fillId="36" borderId="5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Protection="1">
      <protection hidden="1"/>
    </xf>
    <xf numFmtId="1" fontId="5" fillId="36" borderId="17" xfId="45" applyNumberFormat="1" applyFont="1" applyFill="1" applyBorder="1" applyProtection="1">
      <protection hidden="1"/>
    </xf>
    <xf numFmtId="1" fontId="4" fillId="36" borderId="36" xfId="45" applyNumberFormat="1" applyFont="1" applyFill="1" applyBorder="1" applyAlignment="1" applyProtection="1">
      <alignment horizontal="right"/>
      <protection hidden="1"/>
    </xf>
    <xf numFmtId="1" fontId="4" fillId="36" borderId="35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alignment horizontal="right"/>
      <protection hidden="1"/>
    </xf>
    <xf numFmtId="1" fontId="5" fillId="36" borderId="0" xfId="45" applyNumberFormat="1" applyFont="1" applyFill="1" applyBorder="1" applyProtection="1">
      <protection locked="0" hidden="1"/>
    </xf>
    <xf numFmtId="1" fontId="5" fillId="36" borderId="35" xfId="45" applyNumberFormat="1" applyFont="1" applyFill="1" applyBorder="1" applyProtection="1"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right"/>
      <protection hidden="1"/>
    </xf>
    <xf numFmtId="1" fontId="5" fillId="36" borderId="11" xfId="45" applyNumberFormat="1" applyFont="1" applyFill="1" applyBorder="1" applyProtection="1">
      <protection hidden="1"/>
    </xf>
    <xf numFmtId="1" fontId="5" fillId="36" borderId="20" xfId="45" applyNumberFormat="1" applyFont="1" applyFill="1" applyBorder="1" applyProtection="1">
      <protection hidden="1"/>
    </xf>
    <xf numFmtId="1" fontId="5" fillId="36" borderId="12" xfId="45" applyNumberFormat="1" applyFont="1" applyFill="1" applyBorder="1" applyAlignment="1" applyProtection="1">
      <alignment horizontal="right"/>
      <protection hidden="1"/>
    </xf>
    <xf numFmtId="1" fontId="5" fillId="36" borderId="13" xfId="45" applyNumberFormat="1" applyFont="1" applyFill="1" applyBorder="1" applyProtection="1"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Alignment="1" applyProtection="1">
      <alignment horizontal="right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0" xfId="45" applyNumberFormat="1" applyFont="1" applyFill="1" applyBorder="1" applyAlignment="1" applyProtection="1">
      <alignment vertical="center"/>
      <protection hidden="1"/>
    </xf>
    <xf numFmtId="1" fontId="29" fillId="36" borderId="36" xfId="45" applyNumberFormat="1" applyFont="1" applyFill="1" applyBorder="1" applyProtection="1">
      <protection hidden="1"/>
    </xf>
    <xf numFmtId="1" fontId="4" fillId="36" borderId="0" xfId="45" applyNumberFormat="1" applyFont="1" applyFill="1" applyBorder="1" applyProtection="1">
      <protection hidden="1"/>
    </xf>
    <xf numFmtId="1" fontId="60" fillId="36" borderId="36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35" xfId="45" applyNumberFormat="1" applyFont="1" applyFill="1" applyBorder="1" applyAlignment="1" applyProtection="1">
      <protection hidden="1"/>
    </xf>
    <xf numFmtId="1" fontId="0" fillId="36" borderId="0" xfId="0" applyNumberFormat="1" applyFill="1" applyAlignment="1" applyProtection="1">
      <alignment horizontal="right"/>
      <protection hidden="1"/>
    </xf>
    <xf numFmtId="1" fontId="0" fillId="36" borderId="35" xfId="0" applyNumberFormat="1" applyFill="1" applyBorder="1" applyAlignment="1" applyProtection="1">
      <alignment horizontal="right"/>
      <protection hidden="1"/>
    </xf>
    <xf numFmtId="1" fontId="5" fillId="36" borderId="16" xfId="45" applyNumberFormat="1" applyFont="1" applyFill="1" applyBorder="1" applyAlignment="1" applyProtection="1">
      <alignment vertical="center" wrapText="1"/>
      <protection hidden="1"/>
    </xf>
    <xf numFmtId="1" fontId="5" fillId="36" borderId="11" xfId="45" applyNumberFormat="1" applyFont="1" applyFill="1" applyBorder="1" applyAlignment="1" applyProtection="1">
      <alignment vertical="center" wrapText="1"/>
      <protection hidden="1"/>
    </xf>
    <xf numFmtId="1" fontId="5" fillId="36" borderId="20" xfId="45" applyNumberFormat="1" applyFont="1" applyFill="1" applyBorder="1" applyAlignment="1" applyProtection="1">
      <alignment vertical="center" wrapText="1"/>
      <protection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16" xfId="45" applyNumberFormat="1" applyFont="1" applyFill="1" applyBorder="1" applyProtection="1">
      <protection locked="0" hidden="1"/>
    </xf>
    <xf numFmtId="1" fontId="5" fillId="36" borderId="11" xfId="45" applyNumberFormat="1" applyFont="1" applyFill="1" applyBorder="1" applyProtection="1">
      <protection locked="0" hidden="1"/>
    </xf>
    <xf numFmtId="0" fontId="66" fillId="37" borderId="10" xfId="0" applyFont="1" applyFill="1" applyBorder="1" applyAlignment="1" applyProtection="1">
      <alignment horizontal="center" vertical="center" wrapText="1"/>
      <protection hidden="1"/>
    </xf>
    <xf numFmtId="0" fontId="67" fillId="32" borderId="10" xfId="0" applyFont="1" applyFill="1" applyBorder="1" applyAlignment="1" applyProtection="1">
      <alignment horizontal="center" vertical="center" wrapText="1"/>
      <protection locked="0" hidden="1"/>
    </xf>
    <xf numFmtId="9" fontId="67" fillId="32" borderId="10" xfId="47" applyFont="1" applyFill="1" applyBorder="1" applyAlignment="1" applyProtection="1">
      <alignment horizontal="center" vertical="center" wrapText="1"/>
      <protection locked="0" hidden="1"/>
    </xf>
    <xf numFmtId="0" fontId="4" fillId="35" borderId="10" xfId="0" applyFont="1" applyFill="1" applyBorder="1" applyAlignment="1" applyProtection="1">
      <alignment horizontal="center" vertical="center"/>
      <protection locked="0"/>
    </xf>
    <xf numFmtId="9" fontId="68" fillId="35" borderId="10" xfId="0" applyNumberFormat="1" applyFont="1" applyFill="1" applyBorder="1" applyAlignment="1" applyProtection="1">
      <alignment horizontal="center" vertical="center"/>
      <protection locked="0"/>
    </xf>
    <xf numFmtId="0" fontId="5" fillId="35" borderId="10" xfId="0" applyFont="1" applyFill="1" applyBorder="1" applyAlignment="1" applyProtection="1">
      <alignment vertical="top"/>
      <protection locked="0"/>
    </xf>
    <xf numFmtId="0" fontId="28" fillId="35" borderId="0" xfId="0" applyFont="1" applyFill="1" applyAlignment="1" applyProtection="1">
      <alignment vertical="top"/>
      <protection locked="0"/>
    </xf>
    <xf numFmtId="0" fontId="36" fillId="35" borderId="0" xfId="0" applyFont="1" applyFill="1" applyAlignment="1" applyProtection="1">
      <alignment horizontal="center" textRotation="90" wrapText="1"/>
      <protection locked="0"/>
    </xf>
    <xf numFmtId="0" fontId="32" fillId="35" borderId="0" xfId="0" applyFont="1" applyFill="1" applyAlignment="1" applyProtection="1">
      <alignment vertical="center"/>
      <protection locked="0"/>
    </xf>
    <xf numFmtId="0" fontId="36" fillId="35" borderId="0" xfId="0" applyFont="1" applyFill="1" applyAlignment="1" applyProtection="1">
      <alignment horizontal="center" vertical="center" textRotation="90"/>
      <protection locked="0"/>
    </xf>
    <xf numFmtId="0" fontId="4" fillId="35" borderId="0" xfId="0" applyFont="1" applyFill="1" applyAlignment="1" applyProtection="1">
      <alignment vertical="top" textRotation="90"/>
      <protection locked="0"/>
    </xf>
    <xf numFmtId="0" fontId="5" fillId="35" borderId="0" xfId="0" applyFont="1" applyFill="1" applyAlignment="1" applyProtection="1">
      <alignment vertical="top"/>
      <protection locked="0"/>
    </xf>
    <xf numFmtId="0" fontId="32" fillId="32" borderId="10" xfId="0" applyFont="1" applyFill="1" applyBorder="1" applyAlignment="1" applyProtection="1">
      <alignment horizontal="center" vertical="center"/>
      <protection locked="0" hidden="1"/>
    </xf>
    <xf numFmtId="0" fontId="8" fillId="36" borderId="0" xfId="0" applyFont="1" applyFill="1" applyAlignment="1">
      <alignment horizontal="right" vertical="top"/>
    </xf>
    <xf numFmtId="9" fontId="68" fillId="35" borderId="14" xfId="0" applyNumberFormat="1" applyFont="1" applyFill="1" applyBorder="1" applyAlignment="1" applyProtection="1">
      <alignment horizontal="center" vertical="center"/>
      <protection locked="0"/>
    </xf>
    <xf numFmtId="0" fontId="5" fillId="35" borderId="14" xfId="0" applyFont="1" applyFill="1" applyBorder="1" applyAlignment="1" applyProtection="1">
      <alignment vertical="top"/>
      <protection locked="0"/>
    </xf>
    <xf numFmtId="0" fontId="4" fillId="35" borderId="14" xfId="0" applyFont="1" applyFill="1" applyBorder="1" applyAlignment="1" applyProtection="1">
      <alignment horizontal="center" vertical="center"/>
      <protection locked="0"/>
    </xf>
    <xf numFmtId="0" fontId="8" fillId="36" borderId="0" xfId="0" applyFont="1" applyFill="1" applyAlignment="1">
      <alignment horizontal="center" vertical="top"/>
    </xf>
    <xf numFmtId="2" fontId="52" fillId="30" borderId="0" xfId="0" applyNumberFormat="1" applyFont="1" applyFill="1" applyAlignment="1">
      <alignment horizontal="center" vertical="center"/>
    </xf>
    <xf numFmtId="2" fontId="31" fillId="0" borderId="21" xfId="37" applyNumberFormat="1" applyFont="1" applyBorder="1" applyAlignment="1" applyProtection="1">
      <alignment horizontal="right" vertical="center"/>
      <protection locked="0" hidden="1"/>
    </xf>
    <xf numFmtId="2" fontId="70" fillId="29" borderId="0" xfId="0" applyNumberFormat="1" applyFont="1" applyFill="1" applyAlignment="1">
      <alignment horizontal="left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41" fillId="0" borderId="0" xfId="37" applyFont="1" applyAlignment="1">
      <alignment vertical="center"/>
    </xf>
    <xf numFmtId="0" fontId="32" fillId="0" borderId="32" xfId="37" applyFont="1" applyBorder="1" applyAlignment="1" applyProtection="1">
      <alignment horizontal="center" vertical="center"/>
      <protection hidden="1"/>
    </xf>
    <xf numFmtId="0" fontId="26" fillId="0" borderId="0" xfId="37" applyFont="1"/>
    <xf numFmtId="2" fontId="38" fillId="29" borderId="0" xfId="0" applyNumberFormat="1" applyFont="1" applyFill="1" applyAlignment="1">
      <alignment horizontal="left" vertical="center" indent="1"/>
    </xf>
    <xf numFmtId="2" fontId="38" fillId="33" borderId="0" xfId="0" applyNumberFormat="1" applyFont="1" applyFill="1" applyAlignment="1">
      <alignment horizontal="left" vertical="center" wrapText="1" indent="1"/>
    </xf>
    <xf numFmtId="2" fontId="38" fillId="33" borderId="0" xfId="0" applyNumberFormat="1" applyFont="1" applyFill="1" applyAlignment="1">
      <alignment horizontal="left" vertical="center" indent="1"/>
    </xf>
    <xf numFmtId="2" fontId="32" fillId="29" borderId="0" xfId="0" applyNumberFormat="1" applyFont="1" applyFill="1" applyAlignment="1">
      <alignment vertical="center"/>
    </xf>
    <xf numFmtId="2" fontId="38" fillId="33" borderId="0" xfId="0" applyNumberFormat="1" applyFont="1" applyFill="1" applyAlignment="1">
      <alignment vertical="center"/>
    </xf>
    <xf numFmtId="2" fontId="38" fillId="29" borderId="0" xfId="0" applyNumberFormat="1" applyFont="1" applyFill="1" applyAlignment="1">
      <alignment vertical="center"/>
    </xf>
    <xf numFmtId="2" fontId="38" fillId="29" borderId="0" xfId="0" applyNumberFormat="1" applyFont="1" applyFill="1" applyAlignment="1">
      <alignment vertical="center" wrapText="1"/>
    </xf>
    <xf numFmtId="2" fontId="72" fillId="29" borderId="0" xfId="0" applyNumberFormat="1" applyFont="1" applyFill="1" applyAlignment="1">
      <alignment vertical="center"/>
    </xf>
    <xf numFmtId="2" fontId="32" fillId="33" borderId="0" xfId="0" applyNumberFormat="1" applyFont="1" applyFill="1" applyAlignment="1">
      <alignment vertical="center"/>
    </xf>
    <xf numFmtId="2" fontId="72" fillId="33" borderId="0" xfId="0" applyNumberFormat="1" applyFont="1" applyFill="1" applyAlignment="1">
      <alignment vertical="center"/>
    </xf>
    <xf numFmtId="2" fontId="74" fillId="29" borderId="0" xfId="0" applyNumberFormat="1" applyFont="1" applyFill="1" applyAlignment="1">
      <alignment vertical="center"/>
    </xf>
    <xf numFmtId="0" fontId="8" fillId="36" borderId="10" xfId="0" applyFont="1" applyFill="1" applyBorder="1" applyAlignment="1" applyProtection="1">
      <alignment horizontal="left" vertical="top"/>
      <protection hidden="1"/>
    </xf>
    <xf numFmtId="0" fontId="40" fillId="36" borderId="10" xfId="0" applyFont="1" applyFill="1" applyBorder="1" applyAlignment="1" applyProtection="1">
      <alignment horizontal="center" textRotation="90" wrapText="1"/>
      <protection hidden="1"/>
    </xf>
    <xf numFmtId="0" fontId="42" fillId="36" borderId="10" xfId="0" applyFont="1" applyFill="1" applyBorder="1" applyAlignment="1" applyProtection="1">
      <alignment horizontal="center" textRotation="90" wrapText="1"/>
      <protection hidden="1"/>
    </xf>
    <xf numFmtId="17" fontId="32" fillId="36" borderId="22" xfId="0" applyNumberFormat="1" applyFont="1" applyFill="1" applyBorder="1" applyAlignment="1" applyProtection="1">
      <alignment horizontal="center" vertical="center" wrapText="1"/>
      <protection locked="0"/>
    </xf>
    <xf numFmtId="0" fontId="36" fillId="36" borderId="10" xfId="0" applyFont="1" applyFill="1" applyBorder="1" applyAlignment="1" applyProtection="1">
      <alignment horizontal="center" vertical="center"/>
      <protection locked="0"/>
    </xf>
    <xf numFmtId="0" fontId="32" fillId="36" borderId="0" xfId="0" applyFont="1" applyFill="1" applyAlignment="1" applyProtection="1">
      <alignment vertical="center"/>
      <protection locked="0"/>
    </xf>
    <xf numFmtId="0" fontId="36" fillId="36" borderId="0" xfId="0" applyFont="1" applyFill="1" applyAlignment="1" applyProtection="1">
      <alignment horizontal="center" vertical="center"/>
      <protection locked="0"/>
    </xf>
    <xf numFmtId="0" fontId="32" fillId="36" borderId="0" xfId="0" applyFont="1" applyFill="1" applyAlignment="1">
      <alignment vertical="center"/>
    </xf>
    <xf numFmtId="0" fontId="32" fillId="36" borderId="0" xfId="0" applyFont="1" applyFill="1" applyAlignment="1">
      <alignment horizontal="left" vertical="center"/>
    </xf>
    <xf numFmtId="1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6" fillId="36" borderId="10" xfId="0" applyNumberFormat="1" applyFont="1" applyFill="1" applyBorder="1" applyAlignment="1" applyProtection="1">
      <alignment horizontal="center" vertical="center"/>
      <protection locked="0"/>
    </xf>
    <xf numFmtId="1" fontId="64" fillId="36" borderId="17" xfId="0" applyNumberFormat="1" applyFont="1" applyFill="1" applyBorder="1" applyProtection="1">
      <protection locked="0"/>
    </xf>
    <xf numFmtId="1" fontId="64" fillId="36" borderId="19" xfId="0" applyNumberFormat="1" applyFont="1" applyFill="1" applyBorder="1" applyProtection="1">
      <protection locked="0"/>
    </xf>
    <xf numFmtId="1" fontId="5" fillId="36" borderId="10" xfId="45" applyNumberFormat="1" applyFont="1" applyFill="1" applyBorder="1" applyAlignment="1" applyProtection="1">
      <alignment horizontal="center" vertical="center"/>
      <protection hidden="1"/>
    </xf>
    <xf numFmtId="1" fontId="5" fillId="36" borderId="36" xfId="45" applyNumberFormat="1" applyFont="1" applyFill="1" applyBorder="1" applyAlignment="1" applyProtection="1">
      <alignment horizontal="center" vertical="center"/>
      <protection hidden="1"/>
    </xf>
    <xf numFmtId="1" fontId="5" fillId="36" borderId="16" xfId="45" applyNumberFormat="1" applyFont="1" applyFill="1" applyBorder="1" applyAlignment="1" applyProtection="1">
      <alignment horizontal="center" vertical="center"/>
      <protection hidden="1"/>
    </xf>
    <xf numFmtId="1" fontId="5" fillId="36" borderId="10" xfId="45" applyNumberFormat="1" applyFont="1" applyFill="1" applyBorder="1" applyAlignment="1" applyProtection="1">
      <alignment horizontal="center" vertical="center"/>
      <protection locked="0"/>
    </xf>
    <xf numFmtId="1" fontId="5" fillId="36" borderId="0" xfId="45" quotePrefix="1" applyNumberFormat="1" applyFont="1" applyFill="1" applyBorder="1" applyAlignment="1" applyProtection="1">
      <alignment horizontal="center" vertical="center"/>
      <protection hidden="1"/>
    </xf>
    <xf numFmtId="1" fontId="7" fillId="36" borderId="0" xfId="45" applyNumberFormat="1" applyFont="1" applyFill="1" applyBorder="1" applyAlignment="1" applyProtection="1">
      <alignment horizontal="center" vertical="center"/>
      <protection locked="0"/>
    </xf>
    <xf numFmtId="1" fontId="5" fillId="36" borderId="10" xfId="45" applyNumberFormat="1" applyFont="1" applyFill="1" applyBorder="1" applyAlignment="1" applyProtection="1">
      <alignment horizontal="center"/>
      <protection locked="0"/>
    </xf>
    <xf numFmtId="0" fontId="82" fillId="40" borderId="10" xfId="0" applyFont="1" applyFill="1" applyBorder="1"/>
    <xf numFmtId="0" fontId="82" fillId="41" borderId="10" xfId="0" applyFont="1" applyFill="1" applyBorder="1"/>
    <xf numFmtId="2" fontId="30" fillId="0" borderId="21" xfId="37" applyNumberFormat="1" applyFont="1" applyBorder="1" applyAlignment="1" applyProtection="1">
      <alignment horizontal="right" vertical="center"/>
      <protection locked="0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49" fillId="36" borderId="0" xfId="0" applyFont="1" applyFill="1" applyAlignment="1" applyProtection="1">
      <alignment horizontal="center" vertical="top"/>
      <protection locked="0"/>
    </xf>
    <xf numFmtId="0" fontId="39" fillId="36" borderId="0" xfId="0" applyFont="1" applyFill="1" applyAlignment="1">
      <alignment horizontal="center" vertical="center"/>
    </xf>
    <xf numFmtId="0" fontId="67" fillId="32" borderId="12" xfId="0" applyFont="1" applyFill="1" applyBorder="1" applyAlignment="1" applyProtection="1">
      <alignment horizontal="center" vertical="center" wrapText="1"/>
      <protection locked="0" hidden="1"/>
    </xf>
    <xf numFmtId="0" fontId="67" fillId="32" borderId="14" xfId="0" applyFont="1" applyFill="1" applyBorder="1" applyAlignment="1" applyProtection="1">
      <alignment horizontal="center" vertical="center" wrapText="1"/>
      <protection locked="0" hidden="1"/>
    </xf>
    <xf numFmtId="0" fontId="66" fillId="37" borderId="12" xfId="0" applyFont="1" applyFill="1" applyBorder="1" applyAlignment="1" applyProtection="1">
      <alignment horizontal="center" vertical="center" wrapText="1"/>
      <protection hidden="1"/>
    </xf>
    <xf numFmtId="0" fontId="66" fillId="37" borderId="13" xfId="0" applyFont="1" applyFill="1" applyBorder="1" applyAlignment="1" applyProtection="1">
      <alignment horizontal="center" vertical="center" wrapText="1"/>
      <protection hidden="1"/>
    </xf>
    <xf numFmtId="0" fontId="66" fillId="37" borderId="14" xfId="0" applyFont="1" applyFill="1" applyBorder="1" applyAlignment="1" applyProtection="1">
      <alignment horizontal="center" vertical="center" wrapText="1"/>
      <protection hidden="1"/>
    </xf>
    <xf numFmtId="0" fontId="56" fillId="38" borderId="18" xfId="0" applyFont="1" applyFill="1" applyBorder="1" applyAlignment="1" applyProtection="1">
      <alignment horizontal="center" vertical="top" wrapText="1"/>
      <protection hidden="1"/>
    </xf>
    <xf numFmtId="0" fontId="56" fillId="38" borderId="17" xfId="0" applyFont="1" applyFill="1" applyBorder="1" applyAlignment="1" applyProtection="1">
      <alignment horizontal="center" vertical="top" wrapText="1"/>
      <protection hidden="1"/>
    </xf>
    <xf numFmtId="0" fontId="56" fillId="38" borderId="19" xfId="0" applyFont="1" applyFill="1" applyBorder="1" applyAlignment="1" applyProtection="1">
      <alignment horizontal="center" vertical="top" wrapText="1"/>
      <protection hidden="1"/>
    </xf>
    <xf numFmtId="0" fontId="78" fillId="38" borderId="10" xfId="0" applyFont="1" applyFill="1" applyBorder="1" applyAlignment="1" applyProtection="1">
      <alignment horizontal="center" vertical="center" wrapText="1"/>
      <protection hidden="1"/>
    </xf>
    <xf numFmtId="9" fontId="67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9" fontId="67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47" fillId="36" borderId="0" xfId="0" applyFont="1" applyFill="1" applyAlignment="1">
      <alignment horizontal="center" vertical="top"/>
    </xf>
    <xf numFmtId="0" fontId="8" fillId="36" borderId="0" xfId="0" applyFont="1" applyFill="1" applyAlignment="1" applyProtection="1">
      <alignment horizontal="left" vertical="top"/>
      <protection locked="0"/>
    </xf>
    <xf numFmtId="0" fontId="8" fillId="36" borderId="0" xfId="0" applyFont="1" applyFill="1" applyAlignment="1">
      <alignment horizontal="left" vertical="top"/>
    </xf>
    <xf numFmtId="0" fontId="69" fillId="36" borderId="10" xfId="0" applyFont="1" applyFill="1" applyBorder="1" applyAlignment="1" applyProtection="1">
      <alignment horizontal="center" vertical="center"/>
      <protection hidden="1"/>
    </xf>
    <xf numFmtId="49" fontId="8" fillId="36" borderId="0" xfId="0" quotePrefix="1" applyNumberFormat="1" applyFont="1" applyFill="1" applyAlignment="1" applyProtection="1">
      <alignment horizontal="left" vertical="top"/>
      <protection locked="0"/>
    </xf>
    <xf numFmtId="49" fontId="8" fillId="36" borderId="0" xfId="0" applyNumberFormat="1" applyFont="1" applyFill="1" applyAlignment="1" applyProtection="1">
      <alignment horizontal="left" vertical="top"/>
      <protection locked="0"/>
    </xf>
    <xf numFmtId="0" fontId="8" fillId="36" borderId="0" xfId="0" applyFont="1" applyFill="1" applyAlignment="1">
      <alignment horizontal="right" vertical="top"/>
    </xf>
    <xf numFmtId="0" fontId="8" fillId="36" borderId="0" xfId="0" applyFont="1" applyFill="1" applyAlignment="1" applyProtection="1">
      <alignment horizontal="left" vertical="top" wrapText="1"/>
      <protection locked="0"/>
    </xf>
    <xf numFmtId="0" fontId="0" fillId="36" borderId="0" xfId="0" applyFill="1" applyAlignment="1">
      <alignment vertical="top" wrapText="1"/>
    </xf>
    <xf numFmtId="0" fontId="40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/>
      <protection hidden="1"/>
    </xf>
    <xf numFmtId="2" fontId="54" fillId="28" borderId="0" xfId="44" applyNumberFormat="1" applyFont="1" applyFill="1" applyBorder="1" applyAlignment="1" applyProtection="1">
      <alignment horizontal="center" vertical="center" wrapText="1"/>
    </xf>
    <xf numFmtId="2" fontId="55" fillId="28" borderId="0" xfId="0" applyNumberFormat="1" applyFont="1" applyFill="1" applyAlignment="1">
      <alignment horizontal="center" vertical="center"/>
    </xf>
    <xf numFmtId="2" fontId="66" fillId="32" borderId="0" xfId="0" applyNumberFormat="1" applyFont="1" applyFill="1" applyAlignment="1">
      <alignment horizontal="center" vertical="center"/>
    </xf>
    <xf numFmtId="2" fontId="48" fillId="27" borderId="11" xfId="0" applyNumberFormat="1" applyFont="1" applyFill="1" applyBorder="1" applyAlignment="1">
      <alignment horizontal="center" vertical="center"/>
    </xf>
    <xf numFmtId="1" fontId="57" fillId="31" borderId="0" xfId="0" applyNumberFormat="1" applyFont="1" applyFill="1" applyAlignment="1">
      <alignment horizontal="center" vertical="center" wrapText="1"/>
    </xf>
    <xf numFmtId="1" fontId="75" fillId="30" borderId="0" xfId="0" applyNumberFormat="1" applyFont="1" applyFill="1" applyAlignment="1">
      <alignment horizontal="center" vertical="center" wrapText="1"/>
    </xf>
    <xf numFmtId="2" fontId="8" fillId="24" borderId="0" xfId="0" applyNumberFormat="1" applyFont="1" applyFill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2" fillId="30" borderId="0" xfId="0" applyNumberFormat="1" applyFont="1" applyFill="1" applyAlignment="1">
      <alignment horizontal="center" vertical="center"/>
    </xf>
    <xf numFmtId="0" fontId="36" fillId="0" borderId="0" xfId="37" applyFont="1" applyAlignment="1">
      <alignment horizontal="center" vertical="center"/>
    </xf>
    <xf numFmtId="0" fontId="36" fillId="0" borderId="0" xfId="37" applyFont="1" applyAlignment="1">
      <alignment horizontal="center"/>
    </xf>
    <xf numFmtId="0" fontId="32" fillId="0" borderId="12" xfId="37" applyFont="1" applyBorder="1" applyAlignment="1" applyProtection="1">
      <alignment horizontal="left" vertical="center"/>
      <protection hidden="1"/>
    </xf>
    <xf numFmtId="0" fontId="32" fillId="0" borderId="13" xfId="37" applyFont="1" applyBorder="1" applyAlignment="1" applyProtection="1">
      <alignment horizontal="left" vertical="center"/>
      <protection hidden="1"/>
    </xf>
    <xf numFmtId="0" fontId="32" fillId="0" borderId="14" xfId="37" applyFont="1" applyBorder="1" applyAlignment="1" applyProtection="1">
      <alignment horizontal="left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0" fontId="32" fillId="0" borderId="10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left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2" fontId="31" fillId="0" borderId="12" xfId="37" applyNumberFormat="1" applyFont="1" applyBorder="1" applyAlignment="1" applyProtection="1">
      <alignment horizontal="center" vertical="center"/>
      <protection hidden="1"/>
    </xf>
    <xf numFmtId="2" fontId="31" fillId="0" borderId="13" xfId="37" applyNumberFormat="1" applyFont="1" applyBorder="1" applyAlignment="1" applyProtection="1">
      <alignment horizontal="center" vertical="center"/>
      <protection hidden="1"/>
    </xf>
    <xf numFmtId="2" fontId="31" fillId="0" borderId="14" xfId="37" applyNumberFormat="1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center" vertical="center"/>
      <protection hidden="1"/>
    </xf>
    <xf numFmtId="0" fontId="32" fillId="0" borderId="13" xfId="37" applyFont="1" applyBorder="1" applyAlignment="1" applyProtection="1">
      <alignment horizontal="center" vertical="center"/>
      <protection hidden="1"/>
    </xf>
    <xf numFmtId="0" fontId="32" fillId="0" borderId="14" xfId="37" applyFont="1" applyBorder="1" applyAlignment="1" applyProtection="1">
      <alignment horizontal="center" vertical="center"/>
      <protection hidden="1"/>
    </xf>
    <xf numFmtId="0" fontId="32" fillId="0" borderId="18" xfId="37" applyFont="1" applyBorder="1" applyAlignment="1" applyProtection="1">
      <alignment horizontal="left" vertical="center" wrapText="1"/>
      <protection hidden="1"/>
    </xf>
    <xf numFmtId="0" fontId="32" fillId="0" borderId="19" xfId="37" applyFont="1" applyBorder="1" applyAlignment="1" applyProtection="1">
      <alignment horizontal="left" vertical="center" wrapText="1"/>
      <protection hidden="1"/>
    </xf>
    <xf numFmtId="0" fontId="32" fillId="0" borderId="16" xfId="37" applyFont="1" applyBorder="1" applyAlignment="1" applyProtection="1">
      <alignment horizontal="left" vertical="center" wrapText="1"/>
      <protection hidden="1"/>
    </xf>
    <xf numFmtId="0" fontId="32" fillId="0" borderId="20" xfId="37" applyFont="1" applyBorder="1" applyAlignment="1" applyProtection="1">
      <alignment horizontal="left" vertical="center" wrapText="1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left" vertical="center" wrapText="1"/>
      <protection hidden="1"/>
    </xf>
    <xf numFmtId="0" fontId="32" fillId="0" borderId="13" xfId="37" applyFont="1" applyBorder="1" applyAlignment="1" applyProtection="1">
      <alignment horizontal="left" vertical="center" wrapText="1"/>
      <protection hidden="1"/>
    </xf>
    <xf numFmtId="0" fontId="32" fillId="0" borderId="14" xfId="37" applyFont="1" applyBorder="1" applyAlignment="1" applyProtection="1">
      <alignment horizontal="left" vertical="center" wrapText="1"/>
      <protection hidden="1"/>
    </xf>
    <xf numFmtId="0" fontId="31" fillId="0" borderId="13" xfId="37" applyFont="1" applyBorder="1" applyAlignment="1" applyProtection="1">
      <alignment horizontal="left" vertical="center"/>
      <protection hidden="1"/>
    </xf>
    <xf numFmtId="0" fontId="31" fillId="0" borderId="14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43" fillId="0" borderId="0" xfId="37" applyFont="1" applyAlignment="1">
      <alignment horizontal="center"/>
    </xf>
    <xf numFmtId="2" fontId="31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21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top"/>
      <protection hidden="1"/>
    </xf>
    <xf numFmtId="0" fontId="32" fillId="0" borderId="12" xfId="37" applyFont="1" applyBorder="1" applyAlignment="1" applyProtection="1">
      <alignment horizontal="right" vertical="center"/>
      <protection hidden="1"/>
    </xf>
    <xf numFmtId="0" fontId="32" fillId="0" borderId="13" xfId="37" applyFont="1" applyBorder="1" applyAlignment="1" applyProtection="1">
      <alignment horizontal="right" vertical="center"/>
      <protection hidden="1"/>
    </xf>
    <xf numFmtId="0" fontId="32" fillId="0" borderId="14" xfId="37" applyFont="1" applyBorder="1" applyAlignment="1" applyProtection="1">
      <alignment horizontal="right" vertical="center"/>
      <protection hidden="1"/>
    </xf>
    <xf numFmtId="0" fontId="32" fillId="0" borderId="12" xfId="37" applyFont="1" applyBorder="1" applyAlignment="1" applyProtection="1">
      <alignment vertical="center"/>
      <protection hidden="1"/>
    </xf>
    <xf numFmtId="0" fontId="32" fillId="0" borderId="13" xfId="37" applyFont="1" applyBorder="1" applyAlignment="1" applyProtection="1">
      <alignment vertical="center"/>
      <protection hidden="1"/>
    </xf>
    <xf numFmtId="0" fontId="32" fillId="0" borderId="14" xfId="37" applyFont="1" applyBorder="1" applyAlignment="1" applyProtection="1">
      <alignment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6" fillId="0" borderId="21" xfId="37" applyFont="1" applyBorder="1" applyAlignment="1" applyProtection="1">
      <alignment horizontal="left" vertical="center"/>
      <protection hidden="1"/>
    </xf>
    <xf numFmtId="0" fontId="5" fillId="0" borderId="10" xfId="37" applyBorder="1" applyAlignment="1" applyProtection="1">
      <alignment horizontal="left" vertical="center"/>
      <protection hidden="1"/>
    </xf>
    <xf numFmtId="0" fontId="5" fillId="0" borderId="21" xfId="37" applyBorder="1" applyAlignment="1" applyProtection="1">
      <alignment horizontal="left" vertical="center"/>
      <protection hidden="1"/>
    </xf>
    <xf numFmtId="0" fontId="36" fillId="0" borderId="12" xfId="37" applyFont="1" applyBorder="1" applyAlignment="1" applyProtection="1">
      <alignment horizontal="right" vertical="center"/>
      <protection hidden="1"/>
    </xf>
    <xf numFmtId="0" fontId="36" fillId="0" borderId="13" xfId="37" applyFont="1" applyBorder="1" applyAlignment="1" applyProtection="1">
      <alignment horizontal="right" vertical="center"/>
      <protection hidden="1"/>
    </xf>
    <xf numFmtId="0" fontId="36" fillId="0" borderId="14" xfId="37" applyFont="1" applyBorder="1" applyAlignment="1" applyProtection="1">
      <alignment horizontal="right" vertical="center"/>
      <protection hidden="1"/>
    </xf>
    <xf numFmtId="0" fontId="31" fillId="0" borderId="10" xfId="37" applyFont="1" applyBorder="1" applyAlignment="1" applyProtection="1">
      <alignment horizontal="left" vertical="center"/>
      <protection hidden="1"/>
    </xf>
    <xf numFmtId="0" fontId="73" fillId="0" borderId="0" xfId="37" applyFont="1" applyAlignment="1" applyProtection="1">
      <alignment horizontal="center" vertical="center"/>
      <protection hidden="1"/>
    </xf>
    <xf numFmtId="0" fontId="30" fillId="0" borderId="0" xfId="37" applyFont="1" applyAlignment="1" applyProtection="1">
      <alignment horizontal="center" vertical="center"/>
      <protection hidden="1"/>
    </xf>
    <xf numFmtId="0" fontId="32" fillId="0" borderId="31" xfId="37" applyFont="1" applyBorder="1" applyAlignment="1" applyProtection="1">
      <alignment horizontal="left" vertical="center"/>
      <protection hidden="1"/>
    </xf>
    <xf numFmtId="0" fontId="32" fillId="0" borderId="32" xfId="37" applyFont="1" applyBorder="1" applyAlignment="1" applyProtection="1">
      <alignment horizontal="left" vertical="center"/>
      <protection hidden="1"/>
    </xf>
    <xf numFmtId="0" fontId="36" fillId="0" borderId="33" xfId="37" applyFont="1" applyBorder="1" applyAlignment="1" applyProtection="1">
      <alignment horizontal="center" vertical="center"/>
      <protection hidden="1"/>
    </xf>
    <xf numFmtId="0" fontId="36" fillId="0" borderId="34" xfId="37" applyFont="1" applyBorder="1" applyAlignment="1" applyProtection="1">
      <alignment horizontal="center" vertical="center"/>
      <protection hidden="1"/>
    </xf>
    <xf numFmtId="0" fontId="32" fillId="0" borderId="15" xfId="37" applyFont="1" applyBorder="1" applyAlignment="1" applyProtection="1">
      <alignment horizontal="left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71" fillId="0" borderId="12" xfId="37" applyFont="1" applyBorder="1" applyAlignment="1" applyProtection="1">
      <alignment horizontal="left" vertical="center"/>
      <protection hidden="1"/>
    </xf>
    <xf numFmtId="0" fontId="27" fillId="0" borderId="13" xfId="37" applyFont="1" applyBorder="1" applyAlignment="1" applyProtection="1">
      <alignment horizontal="left" vertical="center"/>
      <protection hidden="1"/>
    </xf>
    <xf numFmtId="0" fontId="36" fillId="0" borderId="32" xfId="38" applyFont="1" applyBorder="1" applyAlignment="1" applyProtection="1">
      <alignment horizontal="left" vertical="center"/>
      <protection hidden="1"/>
    </xf>
    <xf numFmtId="0" fontId="36" fillId="0" borderId="32" xfId="37" applyFont="1" applyBorder="1" applyAlignment="1" applyProtection="1">
      <alignment horizontal="left" vertical="center"/>
      <protection hidden="1"/>
    </xf>
    <xf numFmtId="0" fontId="27" fillId="0" borderId="14" xfId="37" applyFont="1" applyBorder="1" applyAlignment="1" applyProtection="1">
      <alignment horizontal="left" vertical="center"/>
      <protection hidden="1"/>
    </xf>
    <xf numFmtId="0" fontId="72" fillId="0" borderId="12" xfId="37" applyFont="1" applyBorder="1" applyAlignment="1" applyProtection="1">
      <alignment horizontal="left" vertical="center"/>
      <protection hidden="1"/>
    </xf>
    <xf numFmtId="0" fontId="72" fillId="0" borderId="13" xfId="37" applyFont="1" applyBorder="1" applyAlignment="1" applyProtection="1">
      <alignment horizontal="left" vertical="center"/>
      <protection hidden="1"/>
    </xf>
    <xf numFmtId="0" fontId="72" fillId="0" borderId="14" xfId="37" applyFont="1" applyBorder="1" applyAlignment="1" applyProtection="1">
      <alignment horizontal="left" vertical="center"/>
      <protection hidden="1"/>
    </xf>
    <xf numFmtId="0" fontId="72" fillId="0" borderId="10" xfId="37" applyFont="1" applyBorder="1" applyAlignment="1" applyProtection="1">
      <alignment horizontal="left" vertical="center"/>
      <protection hidden="1"/>
    </xf>
    <xf numFmtId="0" fontId="31" fillId="0" borderId="10" xfId="37" applyFont="1" applyBorder="1" applyAlignment="1" applyProtection="1">
      <alignment horizontal="center" vertical="center" wrapText="1"/>
      <protection hidden="1"/>
    </xf>
    <xf numFmtId="2" fontId="31" fillId="0" borderId="12" xfId="37" applyNumberFormat="1" applyFont="1" applyBorder="1" applyAlignment="1" applyProtection="1">
      <alignment horizontal="right" vertical="center" wrapText="1"/>
      <protection hidden="1"/>
    </xf>
    <xf numFmtId="2" fontId="31" fillId="0" borderId="26" xfId="37" applyNumberFormat="1" applyFont="1" applyBorder="1" applyAlignment="1" applyProtection="1">
      <alignment horizontal="right" vertical="center" wrapText="1"/>
      <protection hidden="1"/>
    </xf>
    <xf numFmtId="0" fontId="29" fillId="0" borderId="27" xfId="37" applyFont="1" applyBorder="1" applyAlignment="1" applyProtection="1">
      <alignment horizontal="right" vertical="center"/>
      <protection hidden="1"/>
    </xf>
    <xf numFmtId="0" fontId="29" fillId="0" borderId="28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36" fillId="0" borderId="12" xfId="37" applyFont="1" applyBorder="1" applyAlignment="1" applyProtection="1">
      <alignment horizontal="center" vertical="center" wrapText="1"/>
      <protection hidden="1"/>
    </xf>
    <xf numFmtId="0" fontId="36" fillId="0" borderId="14" xfId="37" applyFont="1" applyBorder="1" applyAlignment="1" applyProtection="1">
      <alignment horizontal="center" vertical="center" wrapText="1"/>
      <protection hidden="1"/>
    </xf>
    <xf numFmtId="0" fontId="36" fillId="0" borderId="17" xfId="37" applyFont="1" applyBorder="1" applyAlignment="1" applyProtection="1">
      <alignment horizontal="center" vertical="center" wrapText="1"/>
      <protection hidden="1"/>
    </xf>
    <xf numFmtId="0" fontId="36" fillId="0" borderId="19" xfId="37" applyFont="1" applyBorder="1" applyAlignment="1" applyProtection="1">
      <alignment horizontal="center" vertical="center" wrapText="1"/>
      <protection hidden="1"/>
    </xf>
    <xf numFmtId="0" fontId="36" fillId="0" borderId="11" xfId="37" applyFont="1" applyBorder="1" applyAlignment="1" applyProtection="1">
      <alignment horizontal="center" vertical="center" wrapText="1"/>
      <protection hidden="1"/>
    </xf>
    <xf numFmtId="0" fontId="36" fillId="0" borderId="20" xfId="37" applyFont="1" applyBorder="1" applyAlignment="1" applyProtection="1">
      <alignment horizontal="center" vertical="center" wrapText="1"/>
      <protection hidden="1"/>
    </xf>
    <xf numFmtId="0" fontId="37" fillId="0" borderId="0" xfId="37" applyFont="1" applyAlignment="1">
      <alignment horizontal="center" vertical="center" wrapText="1"/>
    </xf>
    <xf numFmtId="2" fontId="36" fillId="0" borderId="12" xfId="0" applyNumberFormat="1" applyFont="1" applyBorder="1" applyAlignment="1" applyProtection="1">
      <alignment horizontal="left" vertical="center"/>
      <protection hidden="1"/>
    </xf>
    <xf numFmtId="2" fontId="36" fillId="0" borderId="13" xfId="0" applyNumberFormat="1" applyFont="1" applyBorder="1" applyAlignment="1" applyProtection="1">
      <alignment horizontal="left" vertical="center"/>
      <protection hidden="1"/>
    </xf>
    <xf numFmtId="2" fontId="36" fillId="0" borderId="14" xfId="0" applyNumberFormat="1" applyFont="1" applyBorder="1" applyAlignment="1" applyProtection="1">
      <alignment horizontal="left" vertical="center"/>
      <protection hidden="1"/>
    </xf>
    <xf numFmtId="2" fontId="36" fillId="0" borderId="12" xfId="0" applyNumberFormat="1" applyFont="1" applyBorder="1" applyAlignment="1" applyProtection="1">
      <alignment horizontal="right" vertical="center"/>
      <protection hidden="1"/>
    </xf>
    <xf numFmtId="2" fontId="36" fillId="0" borderId="13" xfId="0" applyNumberFormat="1" applyFont="1" applyBorder="1" applyAlignment="1" applyProtection="1">
      <alignment horizontal="right" vertical="center"/>
      <protection hidden="1"/>
    </xf>
    <xf numFmtId="2" fontId="36" fillId="0" borderId="14" xfId="0" applyNumberFormat="1" applyFont="1" applyBorder="1" applyAlignment="1" applyProtection="1">
      <alignment horizontal="right" vertical="center"/>
      <protection hidden="1"/>
    </xf>
    <xf numFmtId="0" fontId="32" fillId="0" borderId="21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center"/>
      <protection hidden="1"/>
    </xf>
    <xf numFmtId="0" fontId="36" fillId="0" borderId="13" xfId="37" applyFont="1" applyBorder="1" applyAlignment="1" applyProtection="1">
      <alignment horizontal="center" vertical="center"/>
      <protection hidden="1"/>
    </xf>
    <xf numFmtId="0" fontId="36" fillId="0" borderId="14" xfId="37" applyFont="1" applyBorder="1" applyAlignment="1" applyProtection="1">
      <alignment horizontal="center" vertical="center"/>
      <protection hidden="1"/>
    </xf>
    <xf numFmtId="2" fontId="32" fillId="0" borderId="12" xfId="0" applyNumberFormat="1" applyFont="1" applyBorder="1" applyAlignment="1" applyProtection="1">
      <alignment horizontal="left" vertical="center"/>
      <protection hidden="1"/>
    </xf>
    <xf numFmtId="2" fontId="32" fillId="0" borderId="13" xfId="0" applyNumberFormat="1" applyFont="1" applyBorder="1" applyAlignment="1" applyProtection="1">
      <alignment horizontal="left" vertical="center"/>
      <protection hidden="1"/>
    </xf>
    <xf numFmtId="2" fontId="32" fillId="0" borderId="14" xfId="0" applyNumberFormat="1" applyFont="1" applyBorder="1" applyAlignment="1" applyProtection="1">
      <alignment horizontal="left" vertical="center"/>
      <protection hidden="1"/>
    </xf>
    <xf numFmtId="0" fontId="46" fillId="0" borderId="0" xfId="37" applyFont="1" applyAlignment="1">
      <alignment horizontal="center" vertical="top" wrapText="1"/>
    </xf>
    <xf numFmtId="0" fontId="36" fillId="0" borderId="26" xfId="37" applyFont="1" applyBorder="1" applyAlignment="1" applyProtection="1">
      <alignment horizontal="center" vertical="center" wrapText="1"/>
      <protection hidden="1"/>
    </xf>
    <xf numFmtId="0" fontId="26" fillId="0" borderId="0" xfId="37" applyFont="1" applyAlignment="1">
      <alignment horizontal="center" vertical="center"/>
    </xf>
    <xf numFmtId="2" fontId="32" fillId="0" borderId="12" xfId="0" applyNumberFormat="1" applyFont="1" applyBorder="1" applyAlignment="1" applyProtection="1">
      <alignment horizontal="left" vertical="center" wrapText="1"/>
      <protection hidden="1"/>
    </xf>
    <xf numFmtId="2" fontId="32" fillId="0" borderId="13" xfId="0" applyNumberFormat="1" applyFont="1" applyBorder="1" applyAlignment="1" applyProtection="1">
      <alignment horizontal="left" vertical="center" wrapText="1"/>
      <protection hidden="1"/>
    </xf>
    <xf numFmtId="2" fontId="32" fillId="0" borderId="14" xfId="0" applyNumberFormat="1" applyFont="1" applyBorder="1" applyAlignment="1" applyProtection="1">
      <alignment horizontal="left" vertical="center" wrapText="1"/>
      <protection hidden="1"/>
    </xf>
    <xf numFmtId="0" fontId="38" fillId="0" borderId="12" xfId="37" applyFont="1" applyBorder="1" applyAlignment="1" applyProtection="1">
      <alignment horizontal="center" vertical="center"/>
      <protection hidden="1"/>
    </xf>
    <xf numFmtId="0" fontId="38" fillId="0" borderId="13" xfId="37" applyFont="1" applyBorder="1" applyAlignment="1" applyProtection="1">
      <alignment horizontal="center" vertical="center"/>
      <protection hidden="1"/>
    </xf>
    <xf numFmtId="0" fontId="38" fillId="0" borderId="14" xfId="37" applyFont="1" applyBorder="1" applyAlignment="1" applyProtection="1">
      <alignment horizontal="center" vertical="center"/>
      <protection hidden="1"/>
    </xf>
    <xf numFmtId="9" fontId="38" fillId="0" borderId="10" xfId="37" applyNumberFormat="1" applyFont="1" applyBorder="1" applyAlignment="1" applyProtection="1">
      <alignment horizontal="center" vertical="center"/>
      <protection hidden="1"/>
    </xf>
    <xf numFmtId="0" fontId="38" fillId="0" borderId="10" xfId="37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76" fillId="0" borderId="12" xfId="37" applyFont="1" applyBorder="1" applyAlignment="1" applyProtection="1">
      <alignment horizontal="right" vertical="center"/>
      <protection hidden="1"/>
    </xf>
    <xf numFmtId="0" fontId="76" fillId="0" borderId="13" xfId="37" applyFont="1" applyBorder="1" applyAlignment="1" applyProtection="1">
      <alignment horizontal="right" vertical="center"/>
      <protection hidden="1"/>
    </xf>
    <xf numFmtId="0" fontId="76" fillId="0" borderId="14" xfId="37" applyFont="1" applyBorder="1" applyAlignment="1" applyProtection="1">
      <alignment horizontal="right" vertical="center"/>
      <protection hidden="1"/>
    </xf>
    <xf numFmtId="0" fontId="38" fillId="0" borderId="10" xfId="37" applyFont="1" applyBorder="1" applyAlignment="1" applyProtection="1">
      <alignment horizontal="right" vertical="center"/>
      <protection hidden="1"/>
    </xf>
    <xf numFmtId="0" fontId="81" fillId="0" borderId="0" xfId="37" applyFont="1" applyAlignment="1" applyProtection="1">
      <alignment horizontal="center" vertic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0" fontId="0" fillId="0" borderId="11" xfId="0" applyBorder="1"/>
    <xf numFmtId="0" fontId="0" fillId="0" borderId="20" xfId="0" applyBorder="1"/>
    <xf numFmtId="1" fontId="5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left"/>
      <protection hidden="1"/>
    </xf>
    <xf numFmtId="1" fontId="5" fillId="36" borderId="35" xfId="45" applyNumberFormat="1" applyFont="1" applyFill="1" applyBorder="1" applyAlignment="1" applyProtection="1">
      <alignment horizontal="left"/>
      <protection hidden="1"/>
    </xf>
    <xf numFmtId="1" fontId="5" fillId="36" borderId="36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4" fillId="36" borderId="16" xfId="45" applyNumberFormat="1" applyFont="1" applyFill="1" applyBorder="1" applyAlignment="1" applyProtection="1">
      <alignment horizontal="center" wrapText="1"/>
      <protection hidden="1"/>
    </xf>
    <xf numFmtId="1" fontId="4" fillId="36" borderId="20" xfId="45" applyNumberFormat="1" applyFont="1" applyFill="1" applyBorder="1" applyAlignment="1" applyProtection="1">
      <alignment horizontal="center" wrapText="1"/>
      <protection hidden="1"/>
    </xf>
    <xf numFmtId="1" fontId="62" fillId="36" borderId="12" xfId="45" applyNumberFormat="1" applyFont="1" applyFill="1" applyBorder="1" applyAlignment="1" applyProtection="1">
      <alignment horizontal="center"/>
      <protection hidden="1"/>
    </xf>
    <xf numFmtId="1" fontId="62" fillId="36" borderId="13" xfId="45" applyNumberFormat="1" applyFont="1" applyFill="1" applyBorder="1" applyAlignment="1" applyProtection="1">
      <alignment horizontal="center"/>
      <protection hidden="1"/>
    </xf>
    <xf numFmtId="1" fontId="62" fillId="36" borderId="20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4" fillId="36" borderId="36" xfId="45" applyNumberFormat="1" applyFont="1" applyFill="1" applyBorder="1" applyAlignment="1" applyProtection="1">
      <alignment horizontal="center"/>
      <protection hidden="1"/>
    </xf>
    <xf numFmtId="1" fontId="44" fillId="36" borderId="35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horizontal="center"/>
      <protection hidden="1"/>
    </xf>
    <xf numFmtId="1" fontId="4" fillId="36" borderId="35" xfId="45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/>
    </xf>
    <xf numFmtId="1" fontId="5" fillId="36" borderId="35" xfId="45" applyNumberFormat="1" applyFont="1" applyFill="1" applyBorder="1" applyAlignment="1" applyProtection="1">
      <alignment horizontal="center"/>
      <protection locked="0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35" xfId="45" applyNumberFormat="1" applyFont="1" applyFill="1" applyBorder="1" applyAlignment="1" applyProtection="1">
      <alignment vertical="center"/>
      <protection hidden="1"/>
    </xf>
    <xf numFmtId="1" fontId="77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 vertical="center"/>
      <protection locked="0"/>
    </xf>
    <xf numFmtId="1" fontId="5" fillId="36" borderId="35" xfId="45" applyNumberFormat="1" applyFont="1" applyFill="1" applyBorder="1" applyAlignment="1" applyProtection="1">
      <alignment horizontal="center" vertical="center"/>
      <protection locked="0"/>
    </xf>
    <xf numFmtId="1" fontId="63" fillId="36" borderId="53" xfId="45" applyNumberFormat="1" applyFont="1" applyFill="1" applyBorder="1" applyAlignment="1" applyProtection="1">
      <alignment horizontal="center" vertical="center"/>
      <protection locked="0" hidden="1"/>
    </xf>
    <xf numFmtId="1" fontId="63" fillId="36" borderId="54" xfId="45" applyNumberFormat="1" applyFont="1" applyFill="1" applyBorder="1" applyAlignment="1" applyProtection="1">
      <alignment horizontal="center" vertical="center"/>
      <protection locked="0" hidden="1"/>
    </xf>
    <xf numFmtId="1" fontId="63" fillId="36" borderId="55" xfId="45" applyNumberFormat="1" applyFont="1" applyFill="1" applyBorder="1" applyAlignment="1" applyProtection="1">
      <alignment horizontal="center" vertical="center"/>
      <protection locked="0" hidden="1"/>
    </xf>
    <xf numFmtId="1" fontId="45" fillId="36" borderId="56" xfId="46" applyNumberFormat="1" applyFont="1" applyFill="1" applyBorder="1" applyAlignment="1" applyProtection="1">
      <alignment horizontal="center" vertical="center"/>
      <protection locked="0" hidden="1"/>
    </xf>
    <xf numFmtId="1" fontId="45" fillId="36" borderId="54" xfId="46" applyNumberFormat="1" applyFont="1" applyFill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4" fillId="36" borderId="18" xfId="45" applyNumberFormat="1" applyFont="1" applyFill="1" applyBorder="1" applyAlignment="1" applyProtection="1">
      <alignment horizontal="center" vertical="center"/>
      <protection hidden="1"/>
    </xf>
    <xf numFmtId="1" fontId="4" fillId="36" borderId="19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 vertical="center"/>
      <protection hidden="1"/>
    </xf>
    <xf numFmtId="1" fontId="4" fillId="36" borderId="35" xfId="45" applyNumberFormat="1" applyFont="1" applyFill="1" applyBorder="1" applyAlignment="1" applyProtection="1">
      <alignment horizontal="center" vertical="center"/>
      <protection hidden="1"/>
    </xf>
    <xf numFmtId="1" fontId="4" fillId="36" borderId="10" xfId="45" applyNumberFormat="1" applyFont="1" applyFill="1" applyBorder="1" applyAlignment="1" applyProtection="1">
      <alignment horizontal="center" vertical="center"/>
      <protection hidden="1"/>
    </xf>
    <xf numFmtId="1" fontId="4" fillId="36" borderId="0" xfId="45" applyNumberFormat="1" applyFont="1" applyFill="1" applyBorder="1" applyAlignment="1" applyProtection="1">
      <alignment horizontal="center"/>
      <protection hidden="1"/>
    </xf>
    <xf numFmtId="1" fontId="7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18" xfId="0" applyNumberFormat="1" applyFont="1" applyFill="1" applyBorder="1" applyAlignment="1" applyProtection="1">
      <alignment horizontal="center"/>
      <protection hidden="1"/>
    </xf>
    <xf numFmtId="1" fontId="4" fillId="36" borderId="17" xfId="0" applyNumberFormat="1" applyFont="1" applyFill="1" applyBorder="1" applyAlignment="1" applyProtection="1">
      <alignment horizontal="center"/>
      <protection hidden="1"/>
    </xf>
    <xf numFmtId="1" fontId="4" fillId="36" borderId="19" xfId="0" applyNumberFormat="1" applyFont="1" applyFill="1" applyBorder="1" applyAlignment="1" applyProtection="1">
      <alignment horizontal="center"/>
      <protection hidden="1"/>
    </xf>
    <xf numFmtId="1" fontId="44" fillId="36" borderId="16" xfId="0" applyNumberFormat="1" applyFont="1" applyFill="1" applyBorder="1" applyAlignment="1" applyProtection="1">
      <alignment horizontal="center"/>
      <protection hidden="1"/>
    </xf>
    <xf numFmtId="1" fontId="44" fillId="36" borderId="11" xfId="0" applyNumberFormat="1" applyFont="1" applyFill="1" applyBorder="1" applyAlignment="1" applyProtection="1">
      <alignment horizontal="center"/>
      <protection hidden="1"/>
    </xf>
    <xf numFmtId="1" fontId="44" fillId="36" borderId="0" xfId="0" applyNumberFormat="1" applyFont="1" applyFill="1" applyAlignment="1" applyProtection="1">
      <alignment horizontal="center"/>
      <protection hidden="1"/>
    </xf>
    <xf numFmtId="1" fontId="44" fillId="36" borderId="20" xfId="0" applyNumberFormat="1" applyFont="1" applyFill="1" applyBorder="1" applyAlignment="1" applyProtection="1">
      <alignment horizontal="center"/>
      <protection hidden="1"/>
    </xf>
    <xf numFmtId="1" fontId="0" fillId="36" borderId="0" xfId="0" applyNumberFormat="1" applyFill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locked="0" hidden="1"/>
    </xf>
    <xf numFmtId="1" fontId="4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62" fillId="36" borderId="14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locked="0"/>
    </xf>
    <xf numFmtId="1" fontId="0" fillId="36" borderId="13" xfId="0" applyNumberFormat="1" applyFill="1" applyBorder="1" applyAlignment="1" applyProtection="1">
      <alignment horizontal="center"/>
      <protection locked="0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1" fillId="36" borderId="36" xfId="45" applyNumberFormat="1" applyFont="1" applyFill="1" applyBorder="1" applyAlignment="1" applyProtection="1">
      <alignment horizontal="center"/>
      <protection hidden="1"/>
    </xf>
    <xf numFmtId="1" fontId="61" fillId="36" borderId="0" xfId="45" applyNumberFormat="1" applyFont="1" applyFill="1" applyBorder="1" applyAlignment="1" applyProtection="1">
      <alignment horizontal="center"/>
      <protection hidden="1"/>
    </xf>
    <xf numFmtId="1" fontId="61" fillId="36" borderId="35" xfId="45" applyNumberFormat="1" applyFont="1" applyFill="1" applyBorder="1" applyAlignment="1" applyProtection="1">
      <alignment horizontal="center"/>
      <protection hidden="1"/>
    </xf>
    <xf numFmtId="1" fontId="7" fillId="36" borderId="36" xfId="0" applyNumberFormat="1" applyFont="1" applyFill="1" applyBorder="1" applyAlignment="1" applyProtection="1">
      <alignment horizontal="center"/>
      <protection hidden="1"/>
    </xf>
    <xf numFmtId="1" fontId="7" fillId="36" borderId="35" xfId="0" applyNumberFormat="1" applyFont="1" applyFill="1" applyBorder="1" applyAlignment="1" applyProtection="1">
      <alignment horizontal="center"/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7" xfId="0" applyNumberFormat="1" applyFont="1" applyFill="1" applyBorder="1" applyAlignment="1" applyProtection="1">
      <alignment horizontal="center"/>
      <protection hidden="1"/>
    </xf>
    <xf numFmtId="1" fontId="5" fillId="36" borderId="19" xfId="0" applyNumberFormat="1" applyFont="1" applyFill="1" applyBorder="1" applyAlignment="1" applyProtection="1">
      <alignment horizontal="center"/>
      <protection hidden="1"/>
    </xf>
    <xf numFmtId="1" fontId="5" fillId="36" borderId="18" xfId="45" applyNumberFormat="1" applyFont="1" applyFill="1" applyBorder="1" applyAlignment="1" applyProtection="1">
      <alignment horizontal="center"/>
      <protection hidden="1"/>
    </xf>
    <xf numFmtId="1" fontId="5" fillId="36" borderId="17" xfId="45" applyNumberFormat="1" applyFont="1" applyFill="1" applyBorder="1" applyAlignment="1" applyProtection="1">
      <alignment horizontal="center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5" fillId="36" borderId="0" xfId="0" applyNumberFormat="1" applyFont="1" applyFill="1" applyAlignment="1" applyProtection="1">
      <alignment horizontal="center"/>
      <protection hidden="1"/>
    </xf>
    <xf numFmtId="1" fontId="61" fillId="36" borderId="18" xfId="45" applyNumberFormat="1" applyFont="1" applyFill="1" applyBorder="1" applyAlignment="1" applyProtection="1">
      <alignment horizontal="center"/>
      <protection hidden="1"/>
    </xf>
    <xf numFmtId="1" fontId="61" fillId="36" borderId="17" xfId="45" applyNumberFormat="1" applyFont="1" applyFill="1" applyBorder="1" applyAlignment="1" applyProtection="1">
      <alignment horizontal="center"/>
      <protection hidden="1"/>
    </xf>
    <xf numFmtId="1" fontId="61" fillId="36" borderId="19" xfId="45" applyNumberFormat="1" applyFont="1" applyFill="1" applyBorder="1" applyAlignment="1" applyProtection="1">
      <alignment horizontal="center"/>
      <protection hidden="1"/>
    </xf>
    <xf numFmtId="1" fontId="7" fillId="36" borderId="18" xfId="0" applyNumberFormat="1" applyFont="1" applyFill="1" applyBorder="1" applyAlignment="1" applyProtection="1">
      <alignment horizontal="center"/>
      <protection hidden="1"/>
    </xf>
    <xf numFmtId="1" fontId="7" fillId="36" borderId="19" xfId="0" applyNumberFormat="1" applyFont="1" applyFill="1" applyBorder="1" applyAlignment="1" applyProtection="1">
      <alignment horizontal="center"/>
      <protection hidden="1"/>
    </xf>
    <xf numFmtId="1" fontId="29" fillId="36" borderId="18" xfId="45" applyNumberFormat="1" applyFont="1" applyFill="1" applyBorder="1" applyAlignment="1" applyProtection="1">
      <alignment horizontal="center"/>
      <protection hidden="1"/>
    </xf>
    <xf numFmtId="1" fontId="29" fillId="36" borderId="17" xfId="45" applyNumberFormat="1" applyFont="1" applyFill="1" applyBorder="1" applyAlignment="1" applyProtection="1">
      <alignment horizontal="center"/>
      <protection hidden="1"/>
    </xf>
    <xf numFmtId="1" fontId="29" fillId="36" borderId="13" xfId="45" applyNumberFormat="1" applyFont="1" applyFill="1" applyBorder="1" applyAlignment="1" applyProtection="1">
      <alignment horizontal="center"/>
      <protection hidden="1"/>
    </xf>
    <xf numFmtId="1" fontId="29" fillId="36" borderId="14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hidden="1"/>
    </xf>
    <xf numFmtId="1" fontId="4" fillId="36" borderId="14" xfId="0" applyNumberFormat="1" applyFont="1" applyFill="1" applyBorder="1" applyAlignment="1" applyProtection="1">
      <alignment horizontal="center"/>
      <protection hidden="1"/>
    </xf>
    <xf numFmtId="1" fontId="4" fillId="36" borderId="12" xfId="45" applyNumberFormat="1" applyFont="1" applyFill="1" applyBorder="1" applyAlignment="1" applyProtection="1">
      <alignment horizontal="center"/>
      <protection locked="0" hidden="1"/>
    </xf>
    <xf numFmtId="1" fontId="4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0" fillId="36" borderId="14" xfId="0" applyNumberForma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0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4" xfId="0" applyNumberFormat="1" applyFont="1" applyFill="1" applyBorder="1" applyAlignment="1" applyProtection="1">
      <alignment horizontal="center" vertical="center" wrapText="1"/>
      <protection hidden="1"/>
    </xf>
    <xf numFmtId="1" fontId="61" fillId="36" borderId="45" xfId="45" applyNumberFormat="1" applyFont="1" applyFill="1" applyBorder="1" applyAlignment="1" applyProtection="1">
      <alignment horizontal="left" vertical="top"/>
      <protection hidden="1"/>
    </xf>
    <xf numFmtId="1" fontId="61" fillId="36" borderId="17" xfId="45" applyNumberFormat="1" applyFont="1" applyFill="1" applyBorder="1" applyAlignment="1" applyProtection="1">
      <alignment horizontal="left" vertical="top"/>
      <protection hidden="1"/>
    </xf>
    <xf numFmtId="1" fontId="61" fillId="36" borderId="19" xfId="45" applyNumberFormat="1" applyFont="1" applyFill="1" applyBorder="1" applyAlignment="1" applyProtection="1">
      <alignment horizontal="left" vertical="top"/>
      <protection hidden="1"/>
    </xf>
    <xf numFmtId="1" fontId="61" fillId="36" borderId="47" xfId="45" applyNumberFormat="1" applyFont="1" applyFill="1" applyBorder="1" applyAlignment="1" applyProtection="1">
      <alignment horizontal="left" vertical="top"/>
      <protection hidden="1"/>
    </xf>
    <xf numFmtId="1" fontId="61" fillId="36" borderId="0" xfId="45" applyNumberFormat="1" applyFont="1" applyFill="1" applyBorder="1" applyAlignment="1" applyProtection="1">
      <alignment horizontal="left" vertical="top"/>
      <protection hidden="1"/>
    </xf>
    <xf numFmtId="1" fontId="61" fillId="36" borderId="35" xfId="45" applyNumberFormat="1" applyFont="1" applyFill="1" applyBorder="1" applyAlignment="1" applyProtection="1">
      <alignment horizontal="left" vertical="top"/>
      <protection hidden="1"/>
    </xf>
    <xf numFmtId="1" fontId="61" fillId="36" borderId="49" xfId="45" applyNumberFormat="1" applyFont="1" applyFill="1" applyBorder="1" applyAlignment="1" applyProtection="1">
      <alignment horizontal="left" vertical="top"/>
      <protection hidden="1"/>
    </xf>
    <xf numFmtId="1" fontId="61" fillId="36" borderId="11" xfId="45" applyNumberFormat="1" applyFont="1" applyFill="1" applyBorder="1" applyAlignment="1" applyProtection="1">
      <alignment horizontal="left" vertical="top"/>
      <protection hidden="1"/>
    </xf>
    <xf numFmtId="1" fontId="61" fillId="36" borderId="20" xfId="45" applyNumberFormat="1" applyFont="1" applyFill="1" applyBorder="1" applyAlignment="1" applyProtection="1">
      <alignment horizontal="left" vertical="top"/>
      <protection hidden="1"/>
    </xf>
    <xf numFmtId="1" fontId="0" fillId="36" borderId="13" xfId="0" applyNumberFormat="1" applyFill="1" applyBorder="1" applyProtection="1">
      <protection hidden="1"/>
    </xf>
    <xf numFmtId="1" fontId="0" fillId="36" borderId="14" xfId="0" applyNumberFormat="1" applyFill="1" applyBorder="1" applyProtection="1">
      <protection hidden="1"/>
    </xf>
    <xf numFmtId="1" fontId="59" fillId="36" borderId="18" xfId="0" applyNumberFormat="1" applyFont="1" applyFill="1" applyBorder="1" applyAlignment="1" applyProtection="1">
      <alignment horizontal="center" vertical="center"/>
      <protection hidden="1"/>
    </xf>
    <xf numFmtId="1" fontId="59" fillId="36" borderId="17" xfId="0" applyNumberFormat="1" applyFont="1" applyFill="1" applyBorder="1" applyAlignment="1" applyProtection="1">
      <alignment vertical="center"/>
      <protection hidden="1"/>
    </xf>
    <xf numFmtId="1" fontId="59" fillId="36" borderId="19" xfId="0" applyNumberFormat="1" applyFont="1" applyFill="1" applyBorder="1" applyAlignment="1" applyProtection="1">
      <alignment vertical="center"/>
      <protection hidden="1"/>
    </xf>
    <xf numFmtId="1" fontId="59" fillId="36" borderId="16" xfId="0" applyNumberFormat="1" applyFont="1" applyFill="1" applyBorder="1" applyAlignment="1" applyProtection="1">
      <alignment vertical="center"/>
      <protection hidden="1"/>
    </xf>
    <xf numFmtId="1" fontId="59" fillId="36" borderId="11" xfId="0" applyNumberFormat="1" applyFont="1" applyFill="1" applyBorder="1" applyAlignment="1" applyProtection="1">
      <alignment vertical="center"/>
      <protection hidden="1"/>
    </xf>
    <xf numFmtId="1" fontId="59" fillId="36" borderId="20" xfId="0" applyNumberFormat="1" applyFont="1" applyFill="1" applyBorder="1" applyAlignment="1" applyProtection="1">
      <alignment vertical="center"/>
      <protection hidden="1"/>
    </xf>
    <xf numFmtId="1" fontId="79" fillId="39" borderId="11" xfId="0" applyNumberFormat="1" applyFont="1" applyFill="1" applyBorder="1" applyAlignment="1" applyProtection="1">
      <alignment horizontal="center" vertical="center"/>
      <protection locked="0"/>
    </xf>
    <xf numFmtId="1" fontId="80" fillId="36" borderId="11" xfId="0" applyNumberFormat="1" applyFont="1" applyFill="1" applyBorder="1" applyAlignment="1" applyProtection="1">
      <alignment horizontal="center" vertical="center"/>
      <protection locked="0"/>
    </xf>
    <xf numFmtId="1" fontId="80" fillId="36" borderId="20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locked="0"/>
    </xf>
    <xf numFmtId="1" fontId="5" fillId="36" borderId="17" xfId="0" applyNumberFormat="1" applyFont="1" applyFill="1" applyBorder="1" applyAlignment="1" applyProtection="1">
      <alignment horizontal="center" vertical="center"/>
      <protection locked="0"/>
    </xf>
    <xf numFmtId="1" fontId="5" fillId="36" borderId="19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hidden="1"/>
    </xf>
    <xf numFmtId="1" fontId="5" fillId="36" borderId="17" xfId="0" applyNumberFormat="1" applyFont="1" applyFill="1" applyBorder="1" applyAlignment="1" applyProtection="1">
      <alignment horizontal="center" vertical="center"/>
      <protection hidden="1"/>
    </xf>
    <xf numFmtId="1" fontId="5" fillId="36" borderId="42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0" xfId="0" applyNumberFormat="1" applyFont="1" applyFill="1" applyAlignment="1" applyProtection="1">
      <alignment horizontal="center" vertical="center" wrapText="1"/>
      <protection locked="0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applyNumberFormat="1" applyFont="1" applyFill="1" applyBorder="1" applyAlignment="1" applyProtection="1">
      <alignment horizontal="center" vertical="center"/>
      <protection hidden="1"/>
    </xf>
    <xf numFmtId="1" fontId="5" fillId="36" borderId="0" xfId="0" applyNumberFormat="1" applyFont="1" applyFill="1" applyAlignment="1" applyProtection="1">
      <alignment horizontal="center" vertical="center"/>
      <protection hidden="1"/>
    </xf>
    <xf numFmtId="1" fontId="5" fillId="36" borderId="43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locked="0"/>
    </xf>
    <xf numFmtId="1" fontId="5" fillId="36" borderId="1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20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6" borderId="0" xfId="0" applyNumberFormat="1" applyFont="1" applyFill="1" applyAlignment="1" applyProtection="1">
      <alignment horizontal="center" vertical="center" wrapText="1"/>
      <protection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20" xfId="0" applyNumberFormat="1" applyFont="1" applyFill="1" applyBorder="1" applyAlignment="1" applyProtection="1">
      <alignment horizontal="center" vertical="center" wrapText="1"/>
      <protection hidden="1"/>
    </xf>
    <xf numFmtId="1" fontId="59" fillId="36" borderId="18" xfId="0" applyNumberFormat="1" applyFont="1" applyFill="1" applyBorder="1" applyAlignment="1" applyProtection="1">
      <alignment horizontal="center"/>
      <protection hidden="1"/>
    </xf>
    <xf numFmtId="1" fontId="59" fillId="36" borderId="17" xfId="0" applyNumberFormat="1" applyFont="1" applyFill="1" applyBorder="1" applyAlignment="1" applyProtection="1">
      <alignment horizontal="center"/>
      <protection hidden="1"/>
    </xf>
    <xf numFmtId="1" fontId="59" fillId="36" borderId="19" xfId="0" applyNumberFormat="1" applyFont="1" applyFill="1" applyBorder="1" applyAlignment="1" applyProtection="1">
      <alignment horizontal="center"/>
      <protection hidden="1"/>
    </xf>
    <xf numFmtId="1" fontId="4" fillId="36" borderId="36" xfId="0" applyNumberFormat="1" applyFont="1" applyFill="1" applyBorder="1" applyAlignment="1" applyProtection="1">
      <alignment horizontal="center"/>
      <protection hidden="1"/>
    </xf>
    <xf numFmtId="1" fontId="4" fillId="36" borderId="0" xfId="0" applyNumberFormat="1" applyFont="1" applyFill="1" applyAlignment="1" applyProtection="1">
      <alignment horizontal="center"/>
      <protection hidden="1"/>
    </xf>
    <xf numFmtId="1" fontId="4" fillId="36" borderId="35" xfId="0" applyNumberFormat="1" applyFont="1" applyFill="1" applyBorder="1" applyAlignment="1" applyProtection="1">
      <alignment horizontal="center"/>
      <protection hidden="1"/>
    </xf>
    <xf numFmtId="1" fontId="60" fillId="36" borderId="36" xfId="0" applyNumberFormat="1" applyFont="1" applyFill="1" applyBorder="1" applyAlignment="1" applyProtection="1">
      <alignment horizontal="center"/>
      <protection hidden="1"/>
    </xf>
    <xf numFmtId="1" fontId="60" fillId="36" borderId="0" xfId="0" applyNumberFormat="1" applyFont="1" applyFill="1" applyAlignment="1" applyProtection="1">
      <alignment horizontal="center"/>
      <protection hidden="1"/>
    </xf>
    <xf numFmtId="1" fontId="60" fillId="36" borderId="35" xfId="0" applyNumberFormat="1" applyFont="1" applyFill="1" applyBorder="1" applyAlignment="1" applyProtection="1">
      <alignment horizontal="center"/>
      <protection hidden="1"/>
    </xf>
    <xf numFmtId="1" fontId="60" fillId="36" borderId="16" xfId="0" applyNumberFormat="1" applyFont="1" applyFill="1" applyBorder="1" applyAlignment="1" applyProtection="1">
      <alignment horizontal="center"/>
      <protection hidden="1"/>
    </xf>
    <xf numFmtId="1" fontId="60" fillId="36" borderId="11" xfId="0" applyNumberFormat="1" applyFont="1" applyFill="1" applyBorder="1" applyAlignment="1" applyProtection="1">
      <alignment horizontal="center"/>
      <protection hidden="1"/>
    </xf>
    <xf numFmtId="1" fontId="60" fillId="36" borderId="20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vertical="center"/>
      <protection hidden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6"/>
    <cellStyle name="Normal_pay 2008-09" xfId="38"/>
    <cellStyle name="Note" xfId="39" builtinId="10" customBuiltin="1"/>
    <cellStyle name="Output" xfId="40" builtinId="21" customBuiltin="1"/>
    <cellStyle name="Percent" xfId="47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15240</xdr:colOff>
      <xdr:row>0</xdr:row>
      <xdr:rowOff>95250</xdr:rowOff>
    </xdr:from>
    <xdr:to>
      <xdr:col>17</xdr:col>
      <xdr:colOff>30480</xdr:colOff>
      <xdr:row>1</xdr:row>
      <xdr:rowOff>152400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/>
      </xdr:nvSpPr>
      <xdr:spPr>
        <a:xfrm>
          <a:off x="7216140" y="95250"/>
          <a:ext cx="1592580" cy="323850"/>
        </a:xfrm>
        <a:prstGeom prst="roundRect">
          <a:avLst/>
        </a:prstGeom>
        <a:solidFill>
          <a:schemeClr val="tx1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TAX REGIME OLD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99060</xdr:colOff>
      <xdr:row>0</xdr:row>
      <xdr:rowOff>68580</xdr:rowOff>
    </xdr:from>
    <xdr:to>
      <xdr:col>16</xdr:col>
      <xdr:colOff>1645920</xdr:colOff>
      <xdr:row>1</xdr:row>
      <xdr:rowOff>167640</xdr:rowOff>
    </xdr:to>
    <xdr:sp macro="" textlink="">
      <xdr:nvSpPr>
        <xdr:cNvPr id="3" name="Rounded Rectangle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/>
      </xdr:nvSpPr>
      <xdr:spPr>
        <a:xfrm>
          <a:off x="7315200" y="68580"/>
          <a:ext cx="1790700" cy="327660"/>
        </a:xfrm>
        <a:prstGeom prst="roundRect">
          <a:avLst/>
        </a:prstGeom>
        <a:solidFill>
          <a:schemeClr val="tx1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TAX REGIME </a:t>
          </a:r>
          <a:r>
            <a:rPr lang="en-US" sz="1400" b="1" baseline="0">
              <a:solidFill>
                <a:schemeClr val="bg1"/>
              </a:solidFill>
            </a:rPr>
            <a:t> NEW</a:t>
          </a:r>
          <a:endParaRPr lang="en-US" sz="1400" b="1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P38"/>
  <sheetViews>
    <sheetView showGridLines="0" tabSelected="1" zoomScale="85" zoomScaleNormal="85" workbookViewId="0">
      <selection activeCell="H23" sqref="H23"/>
    </sheetView>
  </sheetViews>
  <sheetFormatPr defaultColWidth="0" defaultRowHeight="12.75" zeroHeight="1"/>
  <cols>
    <col min="1" max="1" width="0.42578125" style="51" customWidth="1" collapsed="1"/>
    <col min="2" max="2" width="3.85546875" style="51" hidden="1" customWidth="1" collapsed="1"/>
    <col min="3" max="3" width="14.5703125" style="80" customWidth="1" collapsed="1"/>
    <col min="4" max="4" width="9.140625" style="80" customWidth="1" collapsed="1"/>
    <col min="5" max="7" width="5" style="80" customWidth="1" collapsed="1"/>
    <col min="8" max="8" width="9.85546875" style="80" customWidth="1" collapsed="1"/>
    <col min="9" max="9" width="6.85546875" style="80" customWidth="1" collapsed="1"/>
    <col min="10" max="10" width="5" style="80" customWidth="1" collapsed="1"/>
    <col min="11" max="13" width="6" style="80" customWidth="1" collapsed="1"/>
    <col min="14" max="14" width="8.42578125" style="80" customWidth="1" collapsed="1"/>
    <col min="15" max="15" width="8.7109375" style="80" customWidth="1" collapsed="1"/>
    <col min="16" max="16" width="5.85546875" style="80" customWidth="1" collapsed="1"/>
    <col min="17" max="17" width="5.7109375" style="80" customWidth="1" collapsed="1"/>
    <col min="18" max="18" width="8.85546875" style="80" customWidth="1" collapsed="1"/>
    <col min="19" max="19" width="5.5703125" style="80" customWidth="1" collapsed="1"/>
    <col min="20" max="20" width="8.28515625" style="80" customWidth="1" collapsed="1"/>
    <col min="21" max="21" width="6.7109375" style="80" bestFit="1" customWidth="1" collapsed="1"/>
    <col min="22" max="23" width="6" style="80" customWidth="1" collapsed="1"/>
    <col min="24" max="24" width="7.7109375" style="80" customWidth="1" collapsed="1"/>
    <col min="25" max="25" width="6" style="80" customWidth="1" collapsed="1"/>
    <col min="26" max="26" width="6" style="80" customWidth="1"/>
    <col min="27" max="27" width="10.5703125" style="80" customWidth="1" collapsed="1"/>
    <col min="28" max="28" width="12.42578125" style="80" customWidth="1" collapsed="1"/>
    <col min="29" max="29" width="15.42578125" style="80" customWidth="1" collapsed="1"/>
    <col min="30" max="31" width="9.140625" style="199" hidden="1"/>
    <col min="32" max="16384" width="9.140625" style="51" hidden="1" collapsed="1"/>
  </cols>
  <sheetData>
    <row r="1" spans="2:42" ht="31.5" customHeight="1">
      <c r="C1" s="261" t="s">
        <v>221</v>
      </c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1"/>
      <c r="AD1" s="191" t="s">
        <v>79</v>
      </c>
      <c r="AE1" s="191" t="s">
        <v>79</v>
      </c>
    </row>
    <row r="2" spans="2:42" ht="28.5" customHeight="1">
      <c r="C2" s="188" t="s">
        <v>222</v>
      </c>
      <c r="D2" s="253" t="s">
        <v>79</v>
      </c>
      <c r="E2" s="254"/>
      <c r="F2" s="255" t="s">
        <v>44</v>
      </c>
      <c r="G2" s="256"/>
      <c r="H2" s="256"/>
      <c r="I2" s="253" t="s">
        <v>60</v>
      </c>
      <c r="J2" s="254"/>
      <c r="K2" s="255" t="s">
        <v>223</v>
      </c>
      <c r="L2" s="256"/>
      <c r="M2" s="256"/>
      <c r="N2" s="256"/>
      <c r="O2" s="189">
        <v>3</v>
      </c>
      <c r="P2" s="255" t="s">
        <v>64</v>
      </c>
      <c r="Q2" s="257"/>
      <c r="R2" s="190">
        <v>0.1</v>
      </c>
      <c r="S2" s="255" t="s">
        <v>225</v>
      </c>
      <c r="T2" s="256"/>
      <c r="U2" s="257"/>
      <c r="V2" s="262" t="s">
        <v>60</v>
      </c>
      <c r="W2" s="263"/>
      <c r="X2" s="255" t="s">
        <v>224</v>
      </c>
      <c r="Y2" s="256"/>
      <c r="Z2" s="256"/>
      <c r="AA2" s="257"/>
      <c r="AB2" s="189" t="s">
        <v>60</v>
      </c>
      <c r="AC2" s="188"/>
      <c r="AD2" s="191" t="s">
        <v>60</v>
      </c>
      <c r="AE2" s="191" t="s">
        <v>60</v>
      </c>
    </row>
    <row r="3" spans="2:42" ht="20.25" customHeight="1" thickBot="1">
      <c r="C3" s="258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60"/>
      <c r="AD3" s="192">
        <v>0.1</v>
      </c>
      <c r="AE3" s="193"/>
    </row>
    <row r="4" spans="2:42" ht="36" customHeight="1">
      <c r="B4" s="52"/>
      <c r="C4" s="251" t="s">
        <v>342</v>
      </c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02">
        <v>0.2</v>
      </c>
      <c r="AE4" s="193"/>
    </row>
    <row r="5" spans="2:42" ht="32.1" customHeight="1">
      <c r="B5" s="53"/>
      <c r="C5" s="252" t="s">
        <v>370</v>
      </c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03"/>
      <c r="AE5" s="193"/>
    </row>
    <row r="6" spans="2:42" s="54" customFormat="1" ht="20.45" customHeight="1">
      <c r="B6" s="55"/>
      <c r="C6" s="205" t="s">
        <v>69</v>
      </c>
      <c r="D6" s="271" t="s">
        <v>218</v>
      </c>
      <c r="E6" s="272"/>
      <c r="F6" s="272"/>
      <c r="G6" s="272"/>
      <c r="H6" s="272"/>
      <c r="I6" s="270"/>
      <c r="J6" s="270"/>
      <c r="K6" s="265" t="s">
        <v>70</v>
      </c>
      <c r="L6" s="265"/>
      <c r="M6" s="265"/>
      <c r="N6" s="265"/>
      <c r="O6" s="201" t="s">
        <v>19</v>
      </c>
      <c r="P6" s="265" t="s">
        <v>352</v>
      </c>
      <c r="Q6" s="265"/>
      <c r="R6" s="265"/>
      <c r="S6" s="32"/>
      <c r="T6" s="201" t="s">
        <v>59</v>
      </c>
      <c r="U6" s="265" t="s">
        <v>71</v>
      </c>
      <c r="V6" s="265"/>
      <c r="W6" s="265"/>
      <c r="X6" s="33"/>
      <c r="Y6" s="266" t="s">
        <v>73</v>
      </c>
      <c r="Z6" s="266"/>
      <c r="AA6" s="266"/>
      <c r="AB6" s="268" t="s">
        <v>72</v>
      </c>
      <c r="AC6" s="269"/>
      <c r="AD6" s="204" t="s">
        <v>79</v>
      </c>
      <c r="AE6" s="191" t="s">
        <v>79</v>
      </c>
    </row>
    <row r="7" spans="2:42" s="54" customFormat="1" ht="22.5" customHeight="1">
      <c r="B7" s="55"/>
      <c r="C7" s="201"/>
      <c r="D7" s="272"/>
      <c r="E7" s="272"/>
      <c r="F7" s="272"/>
      <c r="G7" s="272"/>
      <c r="H7" s="272"/>
      <c r="I7" s="270"/>
      <c r="J7" s="270"/>
      <c r="K7" s="34"/>
      <c r="L7" s="34"/>
      <c r="M7" s="267" t="s">
        <v>78</v>
      </c>
      <c r="N7" s="267"/>
      <c r="O7" s="267"/>
      <c r="P7" s="267"/>
      <c r="Q7" s="267"/>
      <c r="R7" s="267"/>
      <c r="S7" s="267"/>
      <c r="T7" s="267"/>
      <c r="U7" s="34"/>
      <c r="V7" s="34"/>
      <c r="W7" s="32"/>
      <c r="X7" s="32"/>
      <c r="Y7" s="266" t="s">
        <v>74</v>
      </c>
      <c r="Z7" s="266"/>
      <c r="AA7" s="266"/>
      <c r="AB7" s="265">
        <v>9784379510</v>
      </c>
      <c r="AC7" s="265"/>
      <c r="AD7" s="204" t="s">
        <v>60</v>
      </c>
      <c r="AE7" s="191" t="s">
        <v>60</v>
      </c>
    </row>
    <row r="8" spans="2:42" s="54" customFormat="1" ht="22.5" customHeight="1">
      <c r="B8" s="55"/>
      <c r="C8" s="273" t="s">
        <v>8</v>
      </c>
      <c r="D8" s="274" t="s">
        <v>220</v>
      </c>
      <c r="E8" s="274"/>
      <c r="F8" s="274"/>
      <c r="G8" s="274"/>
      <c r="H8" s="274"/>
      <c r="I8" s="274"/>
      <c r="J8" s="274"/>
      <c r="K8" s="274"/>
      <c r="L8" s="274"/>
      <c r="M8" s="274"/>
      <c r="N8" s="274"/>
      <c r="O8" s="275" t="s">
        <v>219</v>
      </c>
      <c r="P8" s="275"/>
      <c r="Q8" s="275"/>
      <c r="R8" s="275"/>
      <c r="S8" s="275"/>
      <c r="T8" s="275"/>
      <c r="U8" s="275"/>
      <c r="V8" s="275"/>
      <c r="W8" s="275"/>
      <c r="X8" s="275"/>
      <c r="Y8" s="275"/>
      <c r="Z8" s="275"/>
      <c r="AA8" s="275"/>
      <c r="AB8" s="227"/>
      <c r="AC8" s="273" t="s">
        <v>76</v>
      </c>
      <c r="AD8" s="194"/>
      <c r="AE8" s="194"/>
    </row>
    <row r="9" spans="2:42" s="56" customFormat="1" ht="108.75" customHeight="1">
      <c r="B9" s="57"/>
      <c r="C9" s="273"/>
      <c r="D9" s="228" t="s">
        <v>2</v>
      </c>
      <c r="E9" s="228" t="s">
        <v>3</v>
      </c>
      <c r="F9" s="228" t="s">
        <v>47</v>
      </c>
      <c r="G9" s="228" t="s">
        <v>16</v>
      </c>
      <c r="H9" s="228" t="s">
        <v>17</v>
      </c>
      <c r="I9" s="228" t="s">
        <v>63</v>
      </c>
      <c r="J9" s="228" t="s">
        <v>53</v>
      </c>
      <c r="K9" s="228" t="s">
        <v>57</v>
      </c>
      <c r="L9" s="228" t="s">
        <v>61</v>
      </c>
      <c r="M9" s="228" t="s">
        <v>62</v>
      </c>
      <c r="N9" s="229" t="s">
        <v>52</v>
      </c>
      <c r="O9" s="228" t="str">
        <f>IF(D2="No","GPF","GPF 2004")</f>
        <v>GPF 2004</v>
      </c>
      <c r="P9" s="228" t="str">
        <f>IF(D2="No","GPF LOAN","")</f>
        <v/>
      </c>
      <c r="Q9" s="228" t="s">
        <v>9</v>
      </c>
      <c r="R9" s="228" t="s">
        <v>1</v>
      </c>
      <c r="S9" s="228" t="s">
        <v>81</v>
      </c>
      <c r="T9" s="228" t="s">
        <v>6</v>
      </c>
      <c r="U9" s="228" t="s">
        <v>56</v>
      </c>
      <c r="V9" s="228" t="s">
        <v>50</v>
      </c>
      <c r="W9" s="228" t="s">
        <v>49</v>
      </c>
      <c r="X9" s="228" t="s">
        <v>46</v>
      </c>
      <c r="Y9" s="228" t="s">
        <v>80</v>
      </c>
      <c r="Z9" s="228" t="s">
        <v>217</v>
      </c>
      <c r="AA9" s="228" t="s">
        <v>51</v>
      </c>
      <c r="AB9" s="229" t="s">
        <v>58</v>
      </c>
      <c r="AC9" s="273"/>
      <c r="AD9" s="195"/>
      <c r="AE9" s="195"/>
    </row>
    <row r="10" spans="2:42" s="58" customFormat="1" ht="18.95" customHeight="1">
      <c r="B10" s="59">
        <v>3</v>
      </c>
      <c r="C10" s="63">
        <v>46082</v>
      </c>
      <c r="D10" s="200">
        <v>52300</v>
      </c>
      <c r="E10" s="64">
        <v>0</v>
      </c>
      <c r="F10" s="64">
        <v>0</v>
      </c>
      <c r="G10" s="64">
        <v>0</v>
      </c>
      <c r="H10" s="64">
        <f>ROUND(58%*D10,0)</f>
        <v>30334</v>
      </c>
      <c r="I10" s="64">
        <f>IF($R$2=20%,ROUND(0.2*D10,0),ROUND(0.1*D10,0))</f>
        <v>5230</v>
      </c>
      <c r="J10" s="64">
        <v>0</v>
      </c>
      <c r="K10" s="64">
        <v>0</v>
      </c>
      <c r="L10" s="64">
        <v>0</v>
      </c>
      <c r="M10" s="64">
        <v>0</v>
      </c>
      <c r="N10" s="65">
        <f>SUM(D10:M10)</f>
        <v>87864</v>
      </c>
      <c r="O10" s="64">
        <f>IF(D10&lt;23101,1450,IF(D10&lt;28501,1625,IF(D10&lt;38501,2100,IF(D10&lt;51501,2850,IF(D10&lt;62001,3575,IF(D10&lt;72001,4200,IF(D10&lt;80001,4800,IF(D10&lt;116001,6150,IF(D10&lt;167001,8900,10500)))))))))</f>
        <v>3575</v>
      </c>
      <c r="P10" s="64">
        <v>0</v>
      </c>
      <c r="Q10" s="64">
        <v>3000</v>
      </c>
      <c r="R10" s="64">
        <v>0</v>
      </c>
      <c r="S10" s="64">
        <f>IF(D10&lt;18001,265,IF(D10&lt;33501,440,IF(D10&lt;54001,658,875)))</f>
        <v>658</v>
      </c>
      <c r="T10" s="64">
        <v>0</v>
      </c>
      <c r="U10" s="64">
        <v>0</v>
      </c>
      <c r="V10" s="64"/>
      <c r="W10" s="64"/>
      <c r="X10" s="64">
        <v>0</v>
      </c>
      <c r="Y10" s="66"/>
      <c r="Z10" s="67"/>
      <c r="AA10" s="68">
        <f>SUM(O10:Y10)</f>
        <v>7233</v>
      </c>
      <c r="AB10" s="69">
        <f t="shared" ref="AB10:AB30" si="0">N10-AA10</f>
        <v>80631</v>
      </c>
      <c r="AC10" s="70"/>
      <c r="AD10" s="232"/>
      <c r="AE10" s="233"/>
      <c r="AF10" s="234"/>
      <c r="AG10" s="235"/>
      <c r="AH10" s="235"/>
      <c r="AI10" s="235"/>
      <c r="AJ10" s="235"/>
      <c r="AK10" s="234"/>
      <c r="AL10" s="234"/>
      <c r="AM10" s="234"/>
      <c r="AN10" s="234"/>
      <c r="AO10" s="234"/>
      <c r="AP10" s="234"/>
    </row>
    <row r="11" spans="2:42" s="58" customFormat="1" ht="18.95" customHeight="1">
      <c r="B11" s="59">
        <v>4</v>
      </c>
      <c r="C11" s="63">
        <v>46113</v>
      </c>
      <c r="D11" s="64">
        <f t="shared" ref="D11:D13" si="1">D10</f>
        <v>52300</v>
      </c>
      <c r="E11" s="64">
        <f>IF(E$10=0,0,ROUND(D11/2,0))</f>
        <v>0</v>
      </c>
      <c r="F11" s="64">
        <f t="shared" ref="F11:G16" si="2">IF(F$10=0,0,F10)</f>
        <v>0</v>
      </c>
      <c r="G11" s="64">
        <f t="shared" si="2"/>
        <v>0</v>
      </c>
      <c r="H11" s="64">
        <f>ROUND(58%*D11,0)</f>
        <v>30334</v>
      </c>
      <c r="I11" s="64">
        <f t="shared" ref="I11:I21" si="3">IF($R$2=20%,ROUND(0.2*D11,0),ROUND(0.1*D11,0))</f>
        <v>5230</v>
      </c>
      <c r="J11" s="64">
        <f t="shared" ref="J11:J21" si="4">IF(J$10=0,0,J10)</f>
        <v>0</v>
      </c>
      <c r="K11" s="64">
        <f t="shared" ref="K11:L21" si="5">IF(K$10=0,0,K10)</f>
        <v>0</v>
      </c>
      <c r="L11" s="64">
        <f t="shared" si="5"/>
        <v>0</v>
      </c>
      <c r="M11" s="64">
        <f t="shared" ref="M11:M21" si="6">IF(M$10=0,0,M10)</f>
        <v>0</v>
      </c>
      <c r="N11" s="65">
        <f t="shared" ref="N11:N30" si="7">SUM(D11:M11)</f>
        <v>87864</v>
      </c>
      <c r="O11" s="64">
        <f t="shared" ref="O11:O21" si="8">IF(D11&lt;23101,1450,IF(D11&lt;28501,1625,IF(D11&lt;38501,2100,IF(D11&lt;51501,2850,IF(D11&lt;62001,3575,IF(D11&lt;72001,4200,IF(D11&lt;80001,4800,IF(D11&lt;116001,6150,IF(D11&lt;167001,8900,10500)))))))))</f>
        <v>3575</v>
      </c>
      <c r="P11" s="64">
        <f>P10</f>
        <v>0</v>
      </c>
      <c r="Q11" s="64">
        <f>Q10</f>
        <v>3000</v>
      </c>
      <c r="R11" s="64">
        <f>R10</f>
        <v>0</v>
      </c>
      <c r="S11" s="64">
        <f t="shared" ref="S11:S21" si="9">IF(D11&lt;18001,265,IF(D11&lt;33501,440,IF(D11&lt;54001,658,875)))</f>
        <v>658</v>
      </c>
      <c r="T11" s="64">
        <f>T10</f>
        <v>0</v>
      </c>
      <c r="U11" s="71">
        <v>700</v>
      </c>
      <c r="V11" s="64">
        <f t="shared" ref="V11:Y21" si="10">V10</f>
        <v>0</v>
      </c>
      <c r="W11" s="64">
        <f t="shared" si="10"/>
        <v>0</v>
      </c>
      <c r="X11" s="64">
        <f>X10</f>
        <v>0</v>
      </c>
      <c r="Y11" s="64">
        <f t="shared" si="10"/>
        <v>0</v>
      </c>
      <c r="Z11" s="67"/>
      <c r="AA11" s="68">
        <f t="shared" ref="AA11:AA30" si="11">SUM(O11:Y11)</f>
        <v>7933</v>
      </c>
      <c r="AB11" s="69">
        <f t="shared" si="0"/>
        <v>79931</v>
      </c>
      <c r="AC11" s="70"/>
      <c r="AD11" s="232"/>
      <c r="AE11" s="233"/>
      <c r="AF11" s="234"/>
      <c r="AG11" s="235"/>
      <c r="AH11" s="235"/>
      <c r="AI11" s="235"/>
      <c r="AJ11" s="235"/>
      <c r="AK11" s="234"/>
      <c r="AL11" s="234"/>
      <c r="AM11" s="234"/>
      <c r="AN11" s="234"/>
      <c r="AO11" s="234"/>
      <c r="AP11" s="234"/>
    </row>
    <row r="12" spans="2:42" s="58" customFormat="1" ht="18.95" customHeight="1">
      <c r="B12" s="59">
        <v>5</v>
      </c>
      <c r="C12" s="63">
        <v>46143</v>
      </c>
      <c r="D12" s="64">
        <f t="shared" si="1"/>
        <v>52300</v>
      </c>
      <c r="E12" s="64">
        <f t="shared" ref="E12:E21" si="12">IF($E$10=0,0,ROUND(D12/2,0))</f>
        <v>0</v>
      </c>
      <c r="F12" s="64">
        <f t="shared" si="2"/>
        <v>0</v>
      </c>
      <c r="G12" s="64">
        <f t="shared" si="2"/>
        <v>0</v>
      </c>
      <c r="H12" s="64">
        <f>ROUND(60%*D12,0)</f>
        <v>31380</v>
      </c>
      <c r="I12" s="64">
        <f t="shared" si="3"/>
        <v>5230</v>
      </c>
      <c r="J12" s="64">
        <f t="shared" si="4"/>
        <v>0</v>
      </c>
      <c r="K12" s="64">
        <f t="shared" ref="K12" si="13">IF(K$10=0,0,K11)</f>
        <v>0</v>
      </c>
      <c r="L12" s="64">
        <f>IF(L$10=0,0,L11)</f>
        <v>0</v>
      </c>
      <c r="M12" s="64">
        <f t="shared" si="6"/>
        <v>0</v>
      </c>
      <c r="N12" s="65">
        <f t="shared" si="7"/>
        <v>88910</v>
      </c>
      <c r="O12" s="64">
        <f t="shared" si="8"/>
        <v>3575</v>
      </c>
      <c r="P12" s="64">
        <f t="shared" ref="P12:P21" si="14">P11</f>
        <v>0</v>
      </c>
      <c r="Q12" s="64">
        <f t="shared" ref="Q12:Q21" si="15">Q11</f>
        <v>3000</v>
      </c>
      <c r="R12" s="64">
        <f t="shared" ref="R12:R21" si="16">R11</f>
        <v>0</v>
      </c>
      <c r="S12" s="64">
        <f t="shared" si="9"/>
        <v>658</v>
      </c>
      <c r="T12" s="64">
        <f t="shared" ref="T12:T21" si="17">T11</f>
        <v>0</v>
      </c>
      <c r="U12" s="64">
        <v>0</v>
      </c>
      <c r="V12" s="64">
        <f t="shared" si="10"/>
        <v>0</v>
      </c>
      <c r="W12" s="64">
        <f t="shared" si="10"/>
        <v>0</v>
      </c>
      <c r="X12" s="64">
        <f t="shared" si="10"/>
        <v>0</v>
      </c>
      <c r="Y12" s="64">
        <f t="shared" ref="Y12" si="18">Y11</f>
        <v>0</v>
      </c>
      <c r="Z12" s="67"/>
      <c r="AA12" s="68">
        <f t="shared" si="11"/>
        <v>7233</v>
      </c>
      <c r="AB12" s="69">
        <f t="shared" si="0"/>
        <v>81677</v>
      </c>
      <c r="AC12" s="70"/>
      <c r="AD12" s="232"/>
      <c r="AE12" s="233"/>
      <c r="AF12" s="234"/>
      <c r="AG12" s="235"/>
      <c r="AH12" s="235"/>
      <c r="AI12" s="235"/>
      <c r="AJ12" s="235"/>
      <c r="AK12" s="234"/>
      <c r="AL12" s="234"/>
      <c r="AM12" s="234"/>
      <c r="AN12" s="234"/>
      <c r="AO12" s="234"/>
      <c r="AP12" s="234"/>
    </row>
    <row r="13" spans="2:42" s="58" customFormat="1" ht="18.95" customHeight="1">
      <c r="B13" s="59">
        <v>6</v>
      </c>
      <c r="C13" s="63">
        <v>46174</v>
      </c>
      <c r="D13" s="64">
        <f t="shared" si="1"/>
        <v>52300</v>
      </c>
      <c r="E13" s="64">
        <f t="shared" si="12"/>
        <v>0</v>
      </c>
      <c r="F13" s="64">
        <f t="shared" si="2"/>
        <v>0</v>
      </c>
      <c r="G13" s="64">
        <f t="shared" si="2"/>
        <v>0</v>
      </c>
      <c r="H13" s="64">
        <f>ROUND(60%*D13,0)</f>
        <v>31380</v>
      </c>
      <c r="I13" s="64">
        <f t="shared" si="3"/>
        <v>5230</v>
      </c>
      <c r="J13" s="64">
        <f t="shared" si="4"/>
        <v>0</v>
      </c>
      <c r="K13" s="64">
        <f t="shared" si="5"/>
        <v>0</v>
      </c>
      <c r="L13" s="64">
        <f t="shared" si="5"/>
        <v>0</v>
      </c>
      <c r="M13" s="64">
        <f t="shared" si="6"/>
        <v>0</v>
      </c>
      <c r="N13" s="65">
        <f t="shared" si="7"/>
        <v>88910</v>
      </c>
      <c r="O13" s="64">
        <f t="shared" si="8"/>
        <v>3575</v>
      </c>
      <c r="P13" s="64">
        <f t="shared" si="14"/>
        <v>0</v>
      </c>
      <c r="Q13" s="64">
        <f t="shared" si="15"/>
        <v>3000</v>
      </c>
      <c r="R13" s="64">
        <f t="shared" si="16"/>
        <v>0</v>
      </c>
      <c r="S13" s="64">
        <f t="shared" si="9"/>
        <v>658</v>
      </c>
      <c r="T13" s="64">
        <f t="shared" si="17"/>
        <v>0</v>
      </c>
      <c r="U13" s="64">
        <v>0</v>
      </c>
      <c r="V13" s="64">
        <f t="shared" si="10"/>
        <v>0</v>
      </c>
      <c r="W13" s="64">
        <f t="shared" si="10"/>
        <v>0</v>
      </c>
      <c r="X13" s="64">
        <f t="shared" si="10"/>
        <v>0</v>
      </c>
      <c r="Y13" s="64">
        <f t="shared" ref="Y13" si="19">Y12</f>
        <v>0</v>
      </c>
      <c r="Z13" s="67"/>
      <c r="AA13" s="68">
        <f t="shared" si="11"/>
        <v>7233</v>
      </c>
      <c r="AB13" s="69">
        <f t="shared" si="0"/>
        <v>81677</v>
      </c>
      <c r="AC13" s="70"/>
      <c r="AD13" s="232"/>
      <c r="AE13" s="233"/>
      <c r="AF13" s="234"/>
      <c r="AG13" s="235"/>
      <c r="AH13" s="235"/>
      <c r="AI13" s="235"/>
      <c r="AJ13" s="235"/>
      <c r="AK13" s="234"/>
      <c r="AL13" s="234"/>
      <c r="AM13" s="234"/>
      <c r="AN13" s="234"/>
      <c r="AO13" s="234"/>
      <c r="AP13" s="234"/>
    </row>
    <row r="14" spans="2:42" s="58" customFormat="1" ht="18.95" customHeight="1">
      <c r="B14" s="59">
        <v>7</v>
      </c>
      <c r="C14" s="63">
        <v>46204</v>
      </c>
      <c r="D14" s="64">
        <f>MROUND(ROUND(1.03*D13,0),100)</f>
        <v>53900</v>
      </c>
      <c r="E14" s="64">
        <f t="shared" si="12"/>
        <v>0</v>
      </c>
      <c r="F14" s="64">
        <f>IF(F$10=0,0,F13)</f>
        <v>0</v>
      </c>
      <c r="G14" s="64">
        <f>IF(G$10=0,0,G13)</f>
        <v>0</v>
      </c>
      <c r="H14" s="64">
        <f t="shared" ref="H14:H21" si="20">ROUND(60%*D14,0)</f>
        <v>32340</v>
      </c>
      <c r="I14" s="64">
        <f t="shared" si="3"/>
        <v>5390</v>
      </c>
      <c r="J14" s="64">
        <f>IF(J$10=0,0,J13)</f>
        <v>0</v>
      </c>
      <c r="K14" s="64">
        <f t="shared" ref="K14" si="21">IF(K$10=0,0,K13)</f>
        <v>0</v>
      </c>
      <c r="L14" s="64">
        <f>IF(L$10=0,0,L13)</f>
        <v>0</v>
      </c>
      <c r="M14" s="64">
        <f>IF(M$10=0,0,M13)</f>
        <v>0</v>
      </c>
      <c r="N14" s="65">
        <f t="shared" si="7"/>
        <v>91630</v>
      </c>
      <c r="O14" s="64">
        <f t="shared" si="8"/>
        <v>3575</v>
      </c>
      <c r="P14" s="64">
        <f>P13</f>
        <v>0</v>
      </c>
      <c r="Q14" s="64">
        <f>Q13</f>
        <v>3000</v>
      </c>
      <c r="R14" s="64">
        <f>R13</f>
        <v>0</v>
      </c>
      <c r="S14" s="64">
        <f t="shared" si="9"/>
        <v>658</v>
      </c>
      <c r="T14" s="64">
        <f>T13</f>
        <v>0</v>
      </c>
      <c r="U14" s="64">
        <v>0</v>
      </c>
      <c r="V14" s="64">
        <f>V13</f>
        <v>0</v>
      </c>
      <c r="W14" s="64">
        <f>W13</f>
        <v>0</v>
      </c>
      <c r="X14" s="64">
        <f t="shared" ref="X14:Y21" si="22">X13</f>
        <v>0</v>
      </c>
      <c r="Y14" s="64">
        <f t="shared" si="22"/>
        <v>0</v>
      </c>
      <c r="Z14" s="67"/>
      <c r="AA14" s="68">
        <f t="shared" si="11"/>
        <v>7233</v>
      </c>
      <c r="AB14" s="69">
        <f t="shared" si="0"/>
        <v>84397</v>
      </c>
      <c r="AC14" s="70"/>
      <c r="AD14" s="232"/>
      <c r="AE14" s="233"/>
      <c r="AF14" s="234"/>
      <c r="AG14" s="235"/>
      <c r="AH14" s="235"/>
      <c r="AI14" s="235"/>
      <c r="AJ14" s="235"/>
      <c r="AK14" s="234"/>
      <c r="AL14" s="234"/>
      <c r="AM14" s="234"/>
      <c r="AN14" s="234"/>
      <c r="AO14" s="234"/>
      <c r="AP14" s="234"/>
    </row>
    <row r="15" spans="2:42" s="58" customFormat="1" ht="18.95" customHeight="1">
      <c r="B15" s="59">
        <v>8</v>
      </c>
      <c r="C15" s="63">
        <v>46235</v>
      </c>
      <c r="D15" s="64">
        <f t="shared" ref="D15:D21" si="23">D14</f>
        <v>53900</v>
      </c>
      <c r="E15" s="64">
        <f t="shared" si="12"/>
        <v>0</v>
      </c>
      <c r="F15" s="64">
        <f t="shared" si="2"/>
        <v>0</v>
      </c>
      <c r="G15" s="64">
        <f t="shared" si="2"/>
        <v>0</v>
      </c>
      <c r="H15" s="64">
        <f t="shared" si="20"/>
        <v>32340</v>
      </c>
      <c r="I15" s="64">
        <f t="shared" si="3"/>
        <v>5390</v>
      </c>
      <c r="J15" s="64">
        <f t="shared" si="4"/>
        <v>0</v>
      </c>
      <c r="K15" s="64">
        <f t="shared" si="5"/>
        <v>0</v>
      </c>
      <c r="L15" s="64">
        <f t="shared" si="5"/>
        <v>0</v>
      </c>
      <c r="M15" s="64">
        <f t="shared" si="6"/>
        <v>0</v>
      </c>
      <c r="N15" s="65">
        <f t="shared" si="7"/>
        <v>91630</v>
      </c>
      <c r="O15" s="64">
        <f t="shared" si="8"/>
        <v>3575</v>
      </c>
      <c r="P15" s="64">
        <f t="shared" si="14"/>
        <v>0</v>
      </c>
      <c r="Q15" s="64">
        <f t="shared" si="15"/>
        <v>3000</v>
      </c>
      <c r="R15" s="64">
        <f t="shared" si="16"/>
        <v>0</v>
      </c>
      <c r="S15" s="64">
        <f t="shared" si="9"/>
        <v>658</v>
      </c>
      <c r="T15" s="64">
        <f t="shared" si="17"/>
        <v>0</v>
      </c>
      <c r="U15" s="64">
        <v>0</v>
      </c>
      <c r="V15" s="64">
        <f t="shared" si="10"/>
        <v>0</v>
      </c>
      <c r="W15" s="64">
        <f t="shared" si="10"/>
        <v>0</v>
      </c>
      <c r="X15" s="64">
        <f t="shared" si="22"/>
        <v>0</v>
      </c>
      <c r="Y15" s="64">
        <f t="shared" si="22"/>
        <v>0</v>
      </c>
      <c r="Z15" s="67"/>
      <c r="AA15" s="68">
        <f t="shared" si="11"/>
        <v>7233</v>
      </c>
      <c r="AB15" s="69">
        <f t="shared" si="0"/>
        <v>84397</v>
      </c>
      <c r="AC15" s="70"/>
      <c r="AD15" s="232"/>
      <c r="AE15" s="233"/>
      <c r="AF15" s="234"/>
      <c r="AG15" s="235"/>
      <c r="AH15" s="235"/>
      <c r="AI15" s="235"/>
      <c r="AJ15" s="235"/>
      <c r="AK15" s="234"/>
      <c r="AL15" s="234"/>
      <c r="AM15" s="234"/>
      <c r="AN15" s="234"/>
      <c r="AO15" s="234"/>
      <c r="AP15" s="234"/>
    </row>
    <row r="16" spans="2:42" s="58" customFormat="1" ht="18.95" customHeight="1">
      <c r="B16" s="59">
        <v>9</v>
      </c>
      <c r="C16" s="63">
        <v>46266</v>
      </c>
      <c r="D16" s="64">
        <f t="shared" si="23"/>
        <v>53900</v>
      </c>
      <c r="E16" s="64">
        <f t="shared" si="12"/>
        <v>0</v>
      </c>
      <c r="F16" s="64">
        <f t="shared" si="2"/>
        <v>0</v>
      </c>
      <c r="G16" s="64">
        <f t="shared" si="2"/>
        <v>0</v>
      </c>
      <c r="H16" s="64">
        <f t="shared" si="20"/>
        <v>32340</v>
      </c>
      <c r="I16" s="64">
        <f t="shared" si="3"/>
        <v>5390</v>
      </c>
      <c r="J16" s="64">
        <f t="shared" si="4"/>
        <v>0</v>
      </c>
      <c r="K16" s="64">
        <f t="shared" si="5"/>
        <v>0</v>
      </c>
      <c r="L16" s="64">
        <f t="shared" si="5"/>
        <v>0</v>
      </c>
      <c r="M16" s="64">
        <f t="shared" si="6"/>
        <v>0</v>
      </c>
      <c r="N16" s="65">
        <f t="shared" si="7"/>
        <v>91630</v>
      </c>
      <c r="O16" s="64">
        <f t="shared" si="8"/>
        <v>3575</v>
      </c>
      <c r="P16" s="64">
        <f t="shared" si="14"/>
        <v>0</v>
      </c>
      <c r="Q16" s="64">
        <f t="shared" si="15"/>
        <v>3000</v>
      </c>
      <c r="R16" s="64">
        <f t="shared" si="16"/>
        <v>0</v>
      </c>
      <c r="S16" s="64">
        <f t="shared" si="9"/>
        <v>658</v>
      </c>
      <c r="T16" s="64">
        <f t="shared" si="17"/>
        <v>0</v>
      </c>
      <c r="U16" s="64">
        <v>0</v>
      </c>
      <c r="V16" s="64">
        <f t="shared" si="10"/>
        <v>0</v>
      </c>
      <c r="W16" s="64">
        <f t="shared" si="10"/>
        <v>0</v>
      </c>
      <c r="X16" s="64">
        <f t="shared" si="22"/>
        <v>0</v>
      </c>
      <c r="Y16" s="64">
        <f t="shared" si="22"/>
        <v>0</v>
      </c>
      <c r="Z16" s="67"/>
      <c r="AA16" s="68">
        <f t="shared" si="11"/>
        <v>7233</v>
      </c>
      <c r="AB16" s="69">
        <f t="shared" si="0"/>
        <v>84397</v>
      </c>
      <c r="AC16" s="70"/>
      <c r="AD16" s="232"/>
      <c r="AE16" s="233"/>
      <c r="AF16" s="234"/>
      <c r="AG16" s="235"/>
      <c r="AH16" s="235"/>
      <c r="AI16" s="235"/>
      <c r="AJ16" s="235"/>
      <c r="AK16" s="234"/>
      <c r="AL16" s="234"/>
      <c r="AM16" s="234"/>
      <c r="AN16" s="234"/>
      <c r="AO16" s="234"/>
      <c r="AP16" s="234"/>
    </row>
    <row r="17" spans="2:42" s="58" customFormat="1" ht="18.95" customHeight="1">
      <c r="B17" s="59">
        <v>10</v>
      </c>
      <c r="C17" s="63">
        <v>46296</v>
      </c>
      <c r="D17" s="64">
        <f t="shared" si="23"/>
        <v>53900</v>
      </c>
      <c r="E17" s="64">
        <f t="shared" si="12"/>
        <v>0</v>
      </c>
      <c r="F17" s="64">
        <f>IF(F$10=0,0,F16)</f>
        <v>0</v>
      </c>
      <c r="G17" s="64">
        <f t="shared" ref="G17:G21" si="24">IF(G$10=0,0,G16)</f>
        <v>0</v>
      </c>
      <c r="H17" s="64">
        <f t="shared" si="20"/>
        <v>32340</v>
      </c>
      <c r="I17" s="64">
        <f t="shared" si="3"/>
        <v>5390</v>
      </c>
      <c r="J17" s="64">
        <f t="shared" si="4"/>
        <v>0</v>
      </c>
      <c r="K17" s="64">
        <f t="shared" si="5"/>
        <v>0</v>
      </c>
      <c r="L17" s="64">
        <f t="shared" si="5"/>
        <v>0</v>
      </c>
      <c r="M17" s="64">
        <f t="shared" si="6"/>
        <v>0</v>
      </c>
      <c r="N17" s="65">
        <f t="shared" si="7"/>
        <v>91630</v>
      </c>
      <c r="O17" s="64">
        <f t="shared" si="8"/>
        <v>3575</v>
      </c>
      <c r="P17" s="64">
        <f t="shared" si="14"/>
        <v>0</v>
      </c>
      <c r="Q17" s="64">
        <f t="shared" si="15"/>
        <v>3000</v>
      </c>
      <c r="R17" s="64">
        <f t="shared" si="16"/>
        <v>0</v>
      </c>
      <c r="S17" s="64">
        <f t="shared" si="9"/>
        <v>658</v>
      </c>
      <c r="T17" s="64">
        <f t="shared" si="17"/>
        <v>0</v>
      </c>
      <c r="U17" s="64">
        <v>0</v>
      </c>
      <c r="V17" s="64">
        <f t="shared" si="10"/>
        <v>0</v>
      </c>
      <c r="W17" s="64">
        <f t="shared" si="10"/>
        <v>0</v>
      </c>
      <c r="X17" s="64">
        <f t="shared" si="22"/>
        <v>0</v>
      </c>
      <c r="Y17" s="64">
        <f t="shared" si="22"/>
        <v>0</v>
      </c>
      <c r="Z17" s="67"/>
      <c r="AA17" s="68">
        <f t="shared" si="11"/>
        <v>7233</v>
      </c>
      <c r="AB17" s="69">
        <f t="shared" si="0"/>
        <v>84397</v>
      </c>
      <c r="AC17" s="70"/>
      <c r="AD17" s="232"/>
      <c r="AE17" s="233"/>
      <c r="AF17" s="234"/>
      <c r="AG17" s="235"/>
      <c r="AH17" s="235"/>
      <c r="AI17" s="235"/>
      <c r="AJ17" s="235"/>
      <c r="AK17" s="234"/>
      <c r="AL17" s="234"/>
      <c r="AM17" s="234"/>
      <c r="AN17" s="234"/>
      <c r="AO17" s="234"/>
      <c r="AP17" s="234"/>
    </row>
    <row r="18" spans="2:42" s="58" customFormat="1" ht="18.95" customHeight="1">
      <c r="B18" s="59">
        <v>11</v>
      </c>
      <c r="C18" s="63">
        <v>46327</v>
      </c>
      <c r="D18" s="64">
        <f t="shared" si="23"/>
        <v>53900</v>
      </c>
      <c r="E18" s="64">
        <f t="shared" si="12"/>
        <v>0</v>
      </c>
      <c r="F18" s="64">
        <f>IF(F$10=0,0,F17)</f>
        <v>0</v>
      </c>
      <c r="G18" s="64">
        <f t="shared" si="24"/>
        <v>0</v>
      </c>
      <c r="H18" s="64">
        <f t="shared" si="20"/>
        <v>32340</v>
      </c>
      <c r="I18" s="64">
        <f t="shared" si="3"/>
        <v>5390</v>
      </c>
      <c r="J18" s="64">
        <f t="shared" si="4"/>
        <v>0</v>
      </c>
      <c r="K18" s="64">
        <f t="shared" si="5"/>
        <v>0</v>
      </c>
      <c r="L18" s="64">
        <f t="shared" si="5"/>
        <v>0</v>
      </c>
      <c r="M18" s="64">
        <f t="shared" si="6"/>
        <v>0</v>
      </c>
      <c r="N18" s="65">
        <f t="shared" si="7"/>
        <v>91630</v>
      </c>
      <c r="O18" s="64">
        <f t="shared" si="8"/>
        <v>3575</v>
      </c>
      <c r="P18" s="64">
        <f t="shared" si="14"/>
        <v>0</v>
      </c>
      <c r="Q18" s="64">
        <f t="shared" si="15"/>
        <v>3000</v>
      </c>
      <c r="R18" s="64">
        <f t="shared" si="16"/>
        <v>0</v>
      </c>
      <c r="S18" s="64">
        <f t="shared" si="9"/>
        <v>658</v>
      </c>
      <c r="T18" s="64">
        <f t="shared" si="17"/>
        <v>0</v>
      </c>
      <c r="U18" s="64">
        <v>0</v>
      </c>
      <c r="V18" s="64">
        <f t="shared" si="10"/>
        <v>0</v>
      </c>
      <c r="W18" s="64">
        <f t="shared" si="10"/>
        <v>0</v>
      </c>
      <c r="X18" s="64">
        <f t="shared" si="22"/>
        <v>0</v>
      </c>
      <c r="Y18" s="64">
        <f t="shared" si="22"/>
        <v>0</v>
      </c>
      <c r="Z18" s="67"/>
      <c r="AA18" s="68">
        <f t="shared" si="11"/>
        <v>7233</v>
      </c>
      <c r="AB18" s="69">
        <f t="shared" si="0"/>
        <v>84397</v>
      </c>
      <c r="AC18" s="70"/>
      <c r="AD18" s="232"/>
      <c r="AE18" s="233"/>
      <c r="AF18" s="234"/>
      <c r="AG18" s="235"/>
      <c r="AH18" s="235"/>
      <c r="AI18" s="235"/>
      <c r="AJ18" s="235"/>
      <c r="AK18" s="234"/>
      <c r="AL18" s="234"/>
      <c r="AM18" s="234"/>
      <c r="AN18" s="234"/>
      <c r="AO18" s="234"/>
      <c r="AP18" s="234"/>
    </row>
    <row r="19" spans="2:42" s="58" customFormat="1" ht="18.95" customHeight="1">
      <c r="B19" s="59">
        <v>12</v>
      </c>
      <c r="C19" s="63">
        <v>46357</v>
      </c>
      <c r="D19" s="64">
        <f t="shared" si="23"/>
        <v>53900</v>
      </c>
      <c r="E19" s="64">
        <f t="shared" si="12"/>
        <v>0</v>
      </c>
      <c r="F19" s="64">
        <f>IF(F$10=0,0,F18)</f>
        <v>0</v>
      </c>
      <c r="G19" s="64">
        <f t="shared" si="24"/>
        <v>0</v>
      </c>
      <c r="H19" s="64">
        <f t="shared" si="20"/>
        <v>32340</v>
      </c>
      <c r="I19" s="64">
        <f t="shared" si="3"/>
        <v>5390</v>
      </c>
      <c r="J19" s="64">
        <f t="shared" si="4"/>
        <v>0</v>
      </c>
      <c r="K19" s="64">
        <f t="shared" si="5"/>
        <v>0</v>
      </c>
      <c r="L19" s="64">
        <f t="shared" si="5"/>
        <v>0</v>
      </c>
      <c r="M19" s="64">
        <f t="shared" si="6"/>
        <v>0</v>
      </c>
      <c r="N19" s="65">
        <f t="shared" si="7"/>
        <v>91630</v>
      </c>
      <c r="O19" s="64">
        <f t="shared" si="8"/>
        <v>3575</v>
      </c>
      <c r="P19" s="64">
        <f t="shared" si="14"/>
        <v>0</v>
      </c>
      <c r="Q19" s="64">
        <f t="shared" si="15"/>
        <v>3000</v>
      </c>
      <c r="R19" s="64">
        <f t="shared" si="16"/>
        <v>0</v>
      </c>
      <c r="S19" s="64">
        <f t="shared" si="9"/>
        <v>658</v>
      </c>
      <c r="T19" s="64">
        <f t="shared" si="17"/>
        <v>0</v>
      </c>
      <c r="U19" s="64">
        <v>0</v>
      </c>
      <c r="V19" s="64">
        <f t="shared" si="10"/>
        <v>0</v>
      </c>
      <c r="W19" s="64">
        <f t="shared" si="10"/>
        <v>0</v>
      </c>
      <c r="X19" s="64">
        <f t="shared" si="22"/>
        <v>0</v>
      </c>
      <c r="Y19" s="64">
        <v>250</v>
      </c>
      <c r="Z19" s="67"/>
      <c r="AA19" s="68">
        <f t="shared" si="11"/>
        <v>7483</v>
      </c>
      <c r="AB19" s="69">
        <f t="shared" si="0"/>
        <v>84147</v>
      </c>
      <c r="AC19" s="70"/>
      <c r="AD19" s="232"/>
      <c r="AE19" s="233"/>
      <c r="AF19" s="234"/>
      <c r="AG19" s="235"/>
      <c r="AH19" s="235"/>
      <c r="AI19" s="235"/>
      <c r="AJ19" s="235"/>
      <c r="AK19" s="234"/>
      <c r="AL19" s="234"/>
      <c r="AM19" s="234"/>
      <c r="AN19" s="234"/>
      <c r="AO19" s="234"/>
      <c r="AP19" s="234"/>
    </row>
    <row r="20" spans="2:42" s="58" customFormat="1" ht="18.95" customHeight="1">
      <c r="B20" s="59">
        <v>1</v>
      </c>
      <c r="C20" s="63">
        <v>46388</v>
      </c>
      <c r="D20" s="64">
        <f t="shared" si="23"/>
        <v>53900</v>
      </c>
      <c r="E20" s="64">
        <f t="shared" si="12"/>
        <v>0</v>
      </c>
      <c r="F20" s="64">
        <f>IF(F$10=0,0,F19)</f>
        <v>0</v>
      </c>
      <c r="G20" s="64">
        <f t="shared" si="24"/>
        <v>0</v>
      </c>
      <c r="H20" s="64">
        <f t="shared" si="20"/>
        <v>32340</v>
      </c>
      <c r="I20" s="64">
        <f t="shared" si="3"/>
        <v>5390</v>
      </c>
      <c r="J20" s="64">
        <f t="shared" si="4"/>
        <v>0</v>
      </c>
      <c r="K20" s="64">
        <f t="shared" si="5"/>
        <v>0</v>
      </c>
      <c r="L20" s="64">
        <f t="shared" si="5"/>
        <v>0</v>
      </c>
      <c r="M20" s="64">
        <f t="shared" si="6"/>
        <v>0</v>
      </c>
      <c r="N20" s="65">
        <f t="shared" si="7"/>
        <v>91630</v>
      </c>
      <c r="O20" s="64">
        <f t="shared" si="8"/>
        <v>3575</v>
      </c>
      <c r="P20" s="64">
        <f t="shared" si="14"/>
        <v>0</v>
      </c>
      <c r="Q20" s="64">
        <f t="shared" si="15"/>
        <v>3000</v>
      </c>
      <c r="R20" s="64">
        <f t="shared" si="16"/>
        <v>0</v>
      </c>
      <c r="S20" s="64">
        <f t="shared" si="9"/>
        <v>658</v>
      </c>
      <c r="T20" s="64">
        <f t="shared" si="17"/>
        <v>0</v>
      </c>
      <c r="U20" s="64">
        <v>0</v>
      </c>
      <c r="V20" s="64">
        <f t="shared" si="10"/>
        <v>0</v>
      </c>
      <c r="W20" s="64">
        <f t="shared" si="10"/>
        <v>0</v>
      </c>
      <c r="X20" s="64">
        <f t="shared" si="22"/>
        <v>0</v>
      </c>
      <c r="Y20" s="64"/>
      <c r="Z20" s="67"/>
      <c r="AA20" s="68">
        <f t="shared" si="11"/>
        <v>7233</v>
      </c>
      <c r="AB20" s="69">
        <f t="shared" si="0"/>
        <v>84397</v>
      </c>
      <c r="AC20" s="70"/>
      <c r="AD20" s="232"/>
      <c r="AE20" s="233"/>
      <c r="AF20" s="234"/>
      <c r="AG20" s="235"/>
      <c r="AH20" s="235"/>
      <c r="AI20" s="235"/>
      <c r="AJ20" s="235"/>
      <c r="AK20" s="234"/>
      <c r="AL20" s="234"/>
      <c r="AM20" s="234"/>
      <c r="AN20" s="234"/>
      <c r="AO20" s="234"/>
      <c r="AP20" s="234"/>
    </row>
    <row r="21" spans="2:42" s="58" customFormat="1" ht="18.95" customHeight="1">
      <c r="B21" s="59">
        <v>2</v>
      </c>
      <c r="C21" s="63">
        <v>46419</v>
      </c>
      <c r="D21" s="64">
        <f t="shared" si="23"/>
        <v>53900</v>
      </c>
      <c r="E21" s="64">
        <f t="shared" si="12"/>
        <v>0</v>
      </c>
      <c r="F21" s="64">
        <f>IF(F$10=0,0,F20)</f>
        <v>0</v>
      </c>
      <c r="G21" s="64">
        <f t="shared" si="24"/>
        <v>0</v>
      </c>
      <c r="H21" s="64">
        <f t="shared" si="20"/>
        <v>32340</v>
      </c>
      <c r="I21" s="64">
        <f t="shared" si="3"/>
        <v>5390</v>
      </c>
      <c r="J21" s="64">
        <f t="shared" si="4"/>
        <v>0</v>
      </c>
      <c r="K21" s="64">
        <f t="shared" si="5"/>
        <v>0</v>
      </c>
      <c r="L21" s="64">
        <f t="shared" si="5"/>
        <v>0</v>
      </c>
      <c r="M21" s="64">
        <f t="shared" si="6"/>
        <v>0</v>
      </c>
      <c r="N21" s="65">
        <f t="shared" si="7"/>
        <v>91630</v>
      </c>
      <c r="O21" s="64">
        <f t="shared" si="8"/>
        <v>3575</v>
      </c>
      <c r="P21" s="64">
        <f t="shared" si="14"/>
        <v>0</v>
      </c>
      <c r="Q21" s="64">
        <f t="shared" si="15"/>
        <v>3000</v>
      </c>
      <c r="R21" s="64">
        <f t="shared" si="16"/>
        <v>0</v>
      </c>
      <c r="S21" s="64">
        <f t="shared" si="9"/>
        <v>658</v>
      </c>
      <c r="T21" s="64">
        <f t="shared" si="17"/>
        <v>0</v>
      </c>
      <c r="U21" s="64">
        <v>0</v>
      </c>
      <c r="V21" s="64">
        <f t="shared" si="10"/>
        <v>0</v>
      </c>
      <c r="W21" s="64">
        <f t="shared" si="10"/>
        <v>0</v>
      </c>
      <c r="X21" s="64">
        <f t="shared" si="22"/>
        <v>0</v>
      </c>
      <c r="Y21" s="64"/>
      <c r="Z21" s="67"/>
      <c r="AA21" s="68">
        <f t="shared" si="11"/>
        <v>7233</v>
      </c>
      <c r="AB21" s="69">
        <f t="shared" si="0"/>
        <v>84397</v>
      </c>
      <c r="AC21" s="70"/>
      <c r="AD21" s="232"/>
      <c r="AE21" s="233"/>
      <c r="AF21" s="234"/>
      <c r="AG21" s="235"/>
      <c r="AH21" s="235"/>
      <c r="AI21" s="235"/>
      <c r="AJ21" s="235"/>
      <c r="AK21" s="234"/>
      <c r="AL21" s="234"/>
      <c r="AM21" s="234"/>
      <c r="AN21" s="234"/>
      <c r="AO21" s="234"/>
      <c r="AP21" s="234"/>
    </row>
    <row r="22" spans="2:42" s="58" customFormat="1" ht="18.95" customHeight="1">
      <c r="B22" s="59"/>
      <c r="C22" s="72" t="s">
        <v>371</v>
      </c>
      <c r="D22" s="64"/>
      <c r="E22" s="64"/>
      <c r="F22" s="64"/>
      <c r="G22" s="64"/>
      <c r="H22" s="64">
        <f>(ROUND(60%*D10,0)-ROUND(58%*D10,0))*4</f>
        <v>4184</v>
      </c>
      <c r="I22" s="64"/>
      <c r="J22" s="64"/>
      <c r="K22" s="64"/>
      <c r="L22" s="64"/>
      <c r="M22" s="64"/>
      <c r="N22" s="65">
        <f>H22</f>
        <v>4184</v>
      </c>
      <c r="O22" s="64">
        <f>H22</f>
        <v>4184</v>
      </c>
      <c r="P22" s="64"/>
      <c r="Q22" s="64"/>
      <c r="R22" s="64"/>
      <c r="S22" s="64"/>
      <c r="T22" s="64">
        <v>0</v>
      </c>
      <c r="U22" s="64"/>
      <c r="V22" s="64"/>
      <c r="W22" s="64"/>
      <c r="X22" s="64"/>
      <c r="Y22" s="64"/>
      <c r="Z22" s="67"/>
      <c r="AA22" s="68">
        <f t="shared" si="11"/>
        <v>4184</v>
      </c>
      <c r="AB22" s="69">
        <f t="shared" si="0"/>
        <v>0</v>
      </c>
      <c r="AC22" s="70"/>
      <c r="AD22" s="232"/>
      <c r="AE22" s="232"/>
      <c r="AF22" s="234"/>
      <c r="AG22" s="235"/>
      <c r="AH22" s="235"/>
      <c r="AI22" s="235"/>
      <c r="AJ22" s="235"/>
      <c r="AK22" s="234"/>
      <c r="AL22" s="234"/>
      <c r="AM22" s="234"/>
      <c r="AN22" s="234"/>
      <c r="AO22" s="234"/>
      <c r="AP22" s="234"/>
    </row>
    <row r="23" spans="2:42" s="58" customFormat="1" ht="18.95" customHeight="1">
      <c r="B23" s="59"/>
      <c r="C23" s="72" t="s">
        <v>372</v>
      </c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5">
        <f>H23</f>
        <v>0</v>
      </c>
      <c r="O23" s="64">
        <f>H23</f>
        <v>0</v>
      </c>
      <c r="P23" s="64"/>
      <c r="Q23" s="64"/>
      <c r="R23" s="64"/>
      <c r="S23" s="64"/>
      <c r="T23" s="64">
        <v>0</v>
      </c>
      <c r="U23" s="64"/>
      <c r="V23" s="64"/>
      <c r="W23" s="64"/>
      <c r="X23" s="64"/>
      <c r="Y23" s="64"/>
      <c r="Z23" s="67"/>
      <c r="AA23" s="68">
        <f t="shared" ref="AA23" si="25">SUM(O23:Y23)</f>
        <v>0</v>
      </c>
      <c r="AB23" s="69">
        <f t="shared" ref="AB23" si="26">N23-AA23</f>
        <v>0</v>
      </c>
      <c r="AC23" s="70"/>
      <c r="AD23" s="232"/>
      <c r="AE23" s="232"/>
      <c r="AF23" s="234"/>
      <c r="AG23" s="234"/>
      <c r="AH23" s="234"/>
      <c r="AI23" s="234"/>
      <c r="AJ23" s="234"/>
      <c r="AK23" s="234"/>
      <c r="AL23" s="234"/>
      <c r="AM23" s="234"/>
      <c r="AN23" s="234"/>
      <c r="AO23" s="234"/>
      <c r="AP23" s="234"/>
    </row>
    <row r="24" spans="2:42" s="58" customFormat="1" ht="18.95" customHeight="1">
      <c r="B24" s="59"/>
      <c r="C24" s="73" t="s">
        <v>44</v>
      </c>
      <c r="D24" s="64">
        <f>IF(I2="NO",0,IF(O2=3,D21,VLOOKUP(O2,B10:D21,3,FALSE)))/2</f>
        <v>0</v>
      </c>
      <c r="E24" s="64"/>
      <c r="F24" s="64"/>
      <c r="G24" s="64"/>
      <c r="H24" s="64">
        <f>IF(AND('GA-55'!O2&gt;3,'GA-55'!O2&lt;10),ROUND('GA-55'!D24*58%,0),IF(AND('GA-55'!O2&gt;10,'GA-55'!O2&lt;13),ROUND('GA-55'!D24*60%,0),ROUND('GA-55'!D24*60%,0)))</f>
        <v>0</v>
      </c>
      <c r="I24" s="64"/>
      <c r="J24" s="64"/>
      <c r="K24" s="64"/>
      <c r="L24" s="64"/>
      <c r="M24" s="64"/>
      <c r="N24" s="65">
        <f t="shared" si="7"/>
        <v>0</v>
      </c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7"/>
      <c r="AA24" s="68">
        <f t="shared" si="11"/>
        <v>0</v>
      </c>
      <c r="AB24" s="69">
        <f t="shared" si="0"/>
        <v>0</v>
      </c>
      <c r="AC24" s="70"/>
      <c r="AD24" s="232"/>
      <c r="AE24" s="232"/>
      <c r="AF24" s="234"/>
      <c r="AG24" s="234"/>
      <c r="AH24" s="234"/>
      <c r="AI24" s="234"/>
      <c r="AJ24" s="234"/>
      <c r="AK24" s="234"/>
      <c r="AL24" s="234"/>
      <c r="AM24" s="234"/>
      <c r="AN24" s="234"/>
      <c r="AO24" s="234"/>
      <c r="AP24" s="234"/>
    </row>
    <row r="25" spans="2:42" s="58" customFormat="1" ht="18.95" customHeight="1">
      <c r="B25" s="59"/>
      <c r="C25" s="73" t="s">
        <v>45</v>
      </c>
      <c r="D25" s="64">
        <f>IF(V2="Yes",6774,0)</f>
        <v>0</v>
      </c>
      <c r="E25" s="64"/>
      <c r="F25" s="64"/>
      <c r="G25" s="64"/>
      <c r="H25" s="64"/>
      <c r="I25" s="64"/>
      <c r="J25" s="64"/>
      <c r="K25" s="64"/>
      <c r="L25" s="64"/>
      <c r="M25" s="64"/>
      <c r="N25" s="65">
        <f t="shared" si="7"/>
        <v>0</v>
      </c>
      <c r="O25" s="64">
        <f>ROUND(D25*25/100,0)</f>
        <v>0</v>
      </c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7"/>
      <c r="AA25" s="68">
        <f t="shared" si="11"/>
        <v>0</v>
      </c>
      <c r="AB25" s="69">
        <f t="shared" si="0"/>
        <v>0</v>
      </c>
      <c r="AC25" s="70"/>
      <c r="AD25" s="232"/>
      <c r="AE25" s="232"/>
      <c r="AF25" s="234"/>
      <c r="AG25" s="234"/>
      <c r="AH25" s="234"/>
      <c r="AI25" s="234"/>
      <c r="AJ25" s="234"/>
      <c r="AK25" s="234"/>
      <c r="AL25" s="234"/>
      <c r="AM25" s="234"/>
      <c r="AN25" s="234"/>
      <c r="AO25" s="234"/>
      <c r="AP25" s="234"/>
    </row>
    <row r="26" spans="2:42" s="58" customFormat="1" ht="18.95" customHeight="1">
      <c r="B26" s="59"/>
      <c r="C26" s="230" t="s">
        <v>345</v>
      </c>
      <c r="D26" s="67"/>
      <c r="E26" s="67"/>
      <c r="F26" s="67"/>
      <c r="G26" s="67"/>
      <c r="H26" s="67">
        <f>IF(AND('GA-55'!I2="Yes",OR('GA-55'!O2=1,'GA-55'!O2=2,'GA-55'!O2=3)),'GA-55'!D10*50%*2%,0)</f>
        <v>0</v>
      </c>
      <c r="I26" s="67"/>
      <c r="J26" s="67"/>
      <c r="K26" s="67"/>
      <c r="L26" s="67"/>
      <c r="M26" s="67"/>
      <c r="N26" s="231">
        <f t="shared" si="7"/>
        <v>0</v>
      </c>
      <c r="O26" s="67">
        <f>N26</f>
        <v>0</v>
      </c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236">
        <f t="shared" si="11"/>
        <v>0</v>
      </c>
      <c r="AB26" s="237">
        <f t="shared" si="0"/>
        <v>0</v>
      </c>
      <c r="AC26" s="70"/>
      <c r="AD26" s="232"/>
      <c r="AE26" s="232"/>
      <c r="AF26" s="234"/>
      <c r="AG26" s="234"/>
      <c r="AH26" s="234"/>
      <c r="AI26" s="234"/>
      <c r="AJ26" s="234"/>
      <c r="AK26" s="234"/>
      <c r="AL26" s="234"/>
      <c r="AM26" s="234"/>
      <c r="AN26" s="234"/>
      <c r="AO26" s="234"/>
      <c r="AP26" s="234"/>
    </row>
    <row r="27" spans="2:42" s="58" customFormat="1" ht="18.95" customHeight="1">
      <c r="B27" s="59"/>
      <c r="C27" s="72" t="s">
        <v>66</v>
      </c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5">
        <f t="shared" si="7"/>
        <v>0</v>
      </c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7"/>
      <c r="AA27" s="68">
        <f t="shared" si="11"/>
        <v>0</v>
      </c>
      <c r="AB27" s="69">
        <f t="shared" si="0"/>
        <v>0</v>
      </c>
      <c r="AC27" s="70"/>
      <c r="AD27" s="196"/>
      <c r="AE27" s="196"/>
    </row>
    <row r="28" spans="2:42" s="58" customFormat="1" ht="18.95" customHeight="1">
      <c r="B28" s="59"/>
      <c r="C28" s="72" t="s">
        <v>67</v>
      </c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5">
        <f t="shared" si="7"/>
        <v>0</v>
      </c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7"/>
      <c r="AA28" s="68">
        <f t="shared" si="11"/>
        <v>0</v>
      </c>
      <c r="AB28" s="69">
        <f t="shared" si="0"/>
        <v>0</v>
      </c>
      <c r="AC28" s="70"/>
      <c r="AD28" s="196"/>
      <c r="AE28" s="196"/>
    </row>
    <row r="29" spans="2:42" s="58" customFormat="1" ht="18.95" customHeight="1">
      <c r="B29" s="59"/>
      <c r="C29" s="72" t="s">
        <v>68</v>
      </c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5">
        <f t="shared" si="7"/>
        <v>0</v>
      </c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7"/>
      <c r="AA29" s="68">
        <f t="shared" si="11"/>
        <v>0</v>
      </c>
      <c r="AB29" s="69">
        <f t="shared" si="0"/>
        <v>0</v>
      </c>
      <c r="AC29" s="70"/>
      <c r="AD29" s="196"/>
      <c r="AE29" s="196"/>
    </row>
    <row r="30" spans="2:42" s="58" customFormat="1" ht="18.95" customHeight="1">
      <c r="B30" s="59"/>
      <c r="C30" s="72" t="s">
        <v>48</v>
      </c>
      <c r="D30" s="64"/>
      <c r="E30" s="64">
        <v>0</v>
      </c>
      <c r="F30" s="64">
        <v>0</v>
      </c>
      <c r="G30" s="64"/>
      <c r="H30" s="64"/>
      <c r="I30" s="64"/>
      <c r="J30" s="64"/>
      <c r="K30" s="64"/>
      <c r="L30" s="64"/>
      <c r="M30" s="64"/>
      <c r="N30" s="65">
        <f t="shared" si="7"/>
        <v>0</v>
      </c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7"/>
      <c r="AA30" s="68">
        <f t="shared" si="11"/>
        <v>0</v>
      </c>
      <c r="AB30" s="69">
        <f t="shared" si="0"/>
        <v>0</v>
      </c>
      <c r="AC30" s="70"/>
      <c r="AD30" s="196"/>
      <c r="AE30" s="196"/>
    </row>
    <row r="31" spans="2:42" s="60" customFormat="1" ht="70.5" customHeight="1" thickBot="1">
      <c r="B31" s="61"/>
      <c r="C31" s="74" t="s">
        <v>40</v>
      </c>
      <c r="D31" s="75">
        <f>SUM(D10:D30)</f>
        <v>640400</v>
      </c>
      <c r="E31" s="75">
        <f t="shared" ref="E31:AB31" si="27">SUM(E10:E30)</f>
        <v>0</v>
      </c>
      <c r="F31" s="75">
        <f t="shared" si="27"/>
        <v>0</v>
      </c>
      <c r="G31" s="75">
        <f t="shared" si="27"/>
        <v>0</v>
      </c>
      <c r="H31" s="75">
        <f t="shared" si="27"/>
        <v>386332</v>
      </c>
      <c r="I31" s="75">
        <f t="shared" si="27"/>
        <v>64040</v>
      </c>
      <c r="J31" s="75">
        <f t="shared" si="27"/>
        <v>0</v>
      </c>
      <c r="K31" s="75">
        <f t="shared" si="27"/>
        <v>0</v>
      </c>
      <c r="L31" s="75">
        <f t="shared" si="27"/>
        <v>0</v>
      </c>
      <c r="M31" s="75">
        <f t="shared" si="27"/>
        <v>0</v>
      </c>
      <c r="N31" s="75">
        <f t="shared" si="27"/>
        <v>1090772</v>
      </c>
      <c r="O31" s="75">
        <f t="shared" si="27"/>
        <v>47084</v>
      </c>
      <c r="P31" s="75">
        <f t="shared" si="27"/>
        <v>0</v>
      </c>
      <c r="Q31" s="75">
        <f t="shared" si="27"/>
        <v>36000</v>
      </c>
      <c r="R31" s="75">
        <f t="shared" si="27"/>
        <v>0</v>
      </c>
      <c r="S31" s="75">
        <f t="shared" si="27"/>
        <v>7896</v>
      </c>
      <c r="T31" s="75">
        <f t="shared" si="27"/>
        <v>0</v>
      </c>
      <c r="U31" s="76">
        <f t="shared" si="27"/>
        <v>700</v>
      </c>
      <c r="V31" s="75">
        <f t="shared" si="27"/>
        <v>0</v>
      </c>
      <c r="W31" s="75">
        <f t="shared" si="27"/>
        <v>0</v>
      </c>
      <c r="X31" s="75">
        <f t="shared" si="27"/>
        <v>0</v>
      </c>
      <c r="Y31" s="75">
        <f t="shared" si="27"/>
        <v>250</v>
      </c>
      <c r="Z31" s="75">
        <f t="shared" si="27"/>
        <v>0</v>
      </c>
      <c r="AA31" s="75">
        <f t="shared" si="27"/>
        <v>91930</v>
      </c>
      <c r="AB31" s="77">
        <f t="shared" si="27"/>
        <v>998842</v>
      </c>
      <c r="AC31" s="78"/>
      <c r="AD31" s="197"/>
      <c r="AE31" s="197"/>
    </row>
    <row r="32" spans="2:42" s="62" customFormat="1"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198"/>
      <c r="AE32" s="198"/>
    </row>
    <row r="33" spans="3:31" s="62" customFormat="1"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198"/>
      <c r="AE33" s="198"/>
    </row>
    <row r="34" spans="3:31" s="62" customFormat="1"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198"/>
      <c r="AE34" s="198"/>
    </row>
    <row r="35" spans="3:31"/>
    <row r="36" spans="3:31">
      <c r="E36" s="81" t="s">
        <v>41</v>
      </c>
      <c r="AB36" s="81" t="s">
        <v>42</v>
      </c>
    </row>
    <row r="37" spans="3:31"/>
    <row r="38" spans="3:31">
      <c r="C38" s="264"/>
      <c r="D38" s="264"/>
      <c r="E38" s="264"/>
      <c r="F38" s="264"/>
      <c r="G38" s="264"/>
      <c r="H38" s="264"/>
      <c r="I38" s="264"/>
      <c r="J38" s="264"/>
      <c r="K38" s="264"/>
      <c r="L38" s="264"/>
      <c r="M38" s="264"/>
      <c r="N38" s="264"/>
      <c r="O38" s="264"/>
      <c r="P38" s="264"/>
      <c r="Q38" s="264"/>
      <c r="R38" s="264"/>
      <c r="S38" s="264"/>
      <c r="T38" s="264"/>
      <c r="U38" s="264"/>
      <c r="V38" s="264"/>
      <c r="W38" s="264"/>
      <c r="X38" s="264"/>
      <c r="Y38" s="264"/>
      <c r="Z38" s="264"/>
      <c r="AA38" s="264"/>
      <c r="AB38" s="264"/>
      <c r="AC38" s="264"/>
    </row>
  </sheetData>
  <sheetProtection password="9090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38:AC38"/>
    <mergeCell ref="U6:W6"/>
    <mergeCell ref="Y7:AA7"/>
    <mergeCell ref="AB7:AC7"/>
    <mergeCell ref="M7:T7"/>
    <mergeCell ref="AB6:AC6"/>
    <mergeCell ref="Y6:AA6"/>
    <mergeCell ref="P6:R6"/>
    <mergeCell ref="I6:J6"/>
    <mergeCell ref="K6:N6"/>
    <mergeCell ref="D6:H7"/>
    <mergeCell ref="I7:J7"/>
    <mergeCell ref="AC8:AC9"/>
    <mergeCell ref="C8:C9"/>
    <mergeCell ref="D8:N8"/>
    <mergeCell ref="O8:AA8"/>
    <mergeCell ref="C1:AC1"/>
    <mergeCell ref="X2:AA2"/>
    <mergeCell ref="V2:W2"/>
    <mergeCell ref="F2:H2"/>
    <mergeCell ref="I2:J2"/>
    <mergeCell ref="K2:N2"/>
    <mergeCell ref="P2:Q2"/>
    <mergeCell ref="C4:AC4"/>
    <mergeCell ref="C5:AC5"/>
    <mergeCell ref="D2:E2"/>
    <mergeCell ref="S2:U2"/>
    <mergeCell ref="C3:AC3"/>
  </mergeCells>
  <phoneticPr fontId="0" type="noConversion"/>
  <conditionalFormatting sqref="Y11:Y30 D23:Y23 D10:X30">
    <cfRule type="cellIs" dxfId="3" priority="8" stopIfTrue="1" operator="equal">
      <formula>0</formula>
    </cfRule>
  </conditionalFormatting>
  <dataValidations count="6">
    <dataValidation type="list" allowBlank="1" showInputMessage="1" showErrorMessage="1" sqref="D2:E2">
      <formula1>$AD$1:$AD$2</formula1>
    </dataValidation>
    <dataValidation type="list" allowBlank="1" showInputMessage="1" showErrorMessage="1" sqref="O2">
      <formula1>$AE$10:$AE$21</formula1>
    </dataValidation>
    <dataValidation type="list" allowBlank="1" showInputMessage="1" showErrorMessage="1" sqref="I2:J2">
      <formula1>$AE$1:$AE$2</formula1>
    </dataValidation>
    <dataValidation type="list" allowBlank="1" showInputMessage="1" showErrorMessage="1" sqref="R2">
      <formula1>$AD$3:$AD$4</formula1>
    </dataValidation>
    <dataValidation type="list" allowBlank="1" showInputMessage="1" showErrorMessage="1" sqref="V2:W2">
      <formula1>$AD$6:$AD$7</formula1>
    </dataValidation>
    <dataValidation type="list" allowBlank="1" showInputMessage="1" showErrorMessage="1" sqref="AB2">
      <formula1>$AE$6:$AE$7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7"/>
  <sheetViews>
    <sheetView workbookViewId="0">
      <selection activeCell="A11" sqref="A11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1.42578125" style="1" hidden="1" customWidth="1" collapsed="1"/>
    <col min="4" max="4" width="76.7109375" style="1" customWidth="1" collapsed="1"/>
    <col min="5" max="5" width="14.42578125" style="1" customWidth="1" collapsed="1"/>
    <col min="6" max="6" width="17.5703125" style="12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78" t="s">
        <v>298</v>
      </c>
      <c r="B1" s="278"/>
      <c r="C1" s="278"/>
      <c r="D1" s="278"/>
      <c r="E1" s="278"/>
      <c r="F1" s="278"/>
    </row>
    <row r="2" spans="1:122" ht="27.75" customHeight="1">
      <c r="A2" s="279" t="str">
        <f>'GA-55'!D6&amp; " ,   " &amp;'GA-55'!K6&amp;"                         PAN-  "&amp;'GA-55'!P6</f>
        <v>PARMANAND MEGHWAL ,   SR TEACHER                         PAN-  XXXXXXXXX</v>
      </c>
      <c r="B2" s="279"/>
      <c r="C2" s="279"/>
      <c r="D2" s="279"/>
      <c r="E2" s="279"/>
      <c r="F2" s="279"/>
    </row>
    <row r="3" spans="1:122" ht="15" customHeight="1">
      <c r="A3" s="216" t="s">
        <v>299</v>
      </c>
      <c r="B3" s="26">
        <v>0</v>
      </c>
      <c r="C3" s="27"/>
      <c r="D3" s="219" t="s">
        <v>319</v>
      </c>
      <c r="E3" s="26">
        <v>0</v>
      </c>
      <c r="F3" s="22" t="s">
        <v>75</v>
      </c>
      <c r="DR3" s="3" t="s">
        <v>10</v>
      </c>
    </row>
    <row r="4" spans="1:122">
      <c r="A4" s="217" t="s">
        <v>300</v>
      </c>
      <c r="B4" s="28">
        <v>0</v>
      </c>
      <c r="C4" s="29"/>
      <c r="D4" s="220" t="s">
        <v>327</v>
      </c>
      <c r="E4" s="28">
        <v>0</v>
      </c>
      <c r="F4" s="22">
        <f>'GA-55'!N31-'GA-55'!I31</f>
        <v>1026732</v>
      </c>
      <c r="DR4" s="3"/>
    </row>
    <row r="5" spans="1:122" ht="15" customHeight="1">
      <c r="A5" s="216" t="s">
        <v>301</v>
      </c>
      <c r="B5" s="26">
        <v>0</v>
      </c>
      <c r="C5" s="27"/>
      <c r="D5" s="221" t="s">
        <v>320</v>
      </c>
      <c r="E5" s="26">
        <v>0</v>
      </c>
      <c r="F5" s="23" t="s">
        <v>18</v>
      </c>
      <c r="DR5" s="3"/>
    </row>
    <row r="6" spans="1:122" ht="17.25" customHeight="1">
      <c r="A6" s="218" t="s">
        <v>303</v>
      </c>
      <c r="B6" s="28">
        <v>0</v>
      </c>
      <c r="C6" s="29"/>
      <c r="D6" s="220" t="s">
        <v>326</v>
      </c>
      <c r="E6" s="28">
        <v>0</v>
      </c>
      <c r="F6" s="23">
        <f>'Tax Old Regime'!Q47</f>
        <v>956990</v>
      </c>
      <c r="DR6" s="3"/>
    </row>
    <row r="7" spans="1:122" ht="15" customHeight="1">
      <c r="A7" s="216" t="s">
        <v>302</v>
      </c>
      <c r="B7" s="26">
        <v>0</v>
      </c>
      <c r="C7" s="27"/>
      <c r="D7" s="222" t="s">
        <v>321</v>
      </c>
      <c r="E7" s="26">
        <v>0</v>
      </c>
      <c r="F7" s="24" t="s">
        <v>43</v>
      </c>
      <c r="DR7" s="3"/>
    </row>
    <row r="8" spans="1:122" ht="15" customHeight="1">
      <c r="A8" s="218" t="s">
        <v>304</v>
      </c>
      <c r="B8" s="30">
        <v>0</v>
      </c>
      <c r="C8" s="29"/>
      <c r="D8" s="220" t="s">
        <v>323</v>
      </c>
      <c r="E8" s="30">
        <v>0</v>
      </c>
      <c r="F8" s="25">
        <f>'GA-55'!X31</f>
        <v>0</v>
      </c>
      <c r="DR8" s="3"/>
    </row>
    <row r="9" spans="1:122" ht="15" customHeight="1">
      <c r="A9" s="216" t="s">
        <v>305</v>
      </c>
      <c r="B9" s="26">
        <v>0</v>
      </c>
      <c r="C9" s="27"/>
      <c r="D9" s="223" t="s">
        <v>322</v>
      </c>
      <c r="E9" s="26">
        <v>0</v>
      </c>
      <c r="F9" s="280" t="s">
        <v>55</v>
      </c>
      <c r="DR9" s="3"/>
    </row>
    <row r="10" spans="1:122" ht="15" customHeight="1">
      <c r="A10" s="218" t="s">
        <v>306</v>
      </c>
      <c r="B10" s="30">
        <v>0</v>
      </c>
      <c r="C10" s="29"/>
      <c r="D10" s="224" t="s">
        <v>325</v>
      </c>
      <c r="E10" s="30">
        <v>0</v>
      </c>
      <c r="F10" s="280"/>
      <c r="DR10" s="3" t="s">
        <v>11</v>
      </c>
    </row>
    <row r="11" spans="1:122" ht="15" customHeight="1">
      <c r="A11" s="216" t="s">
        <v>307</v>
      </c>
      <c r="B11" s="26">
        <v>0</v>
      </c>
      <c r="C11" s="27"/>
      <c r="D11" s="221" t="s">
        <v>324</v>
      </c>
      <c r="E11" s="26">
        <v>0</v>
      </c>
      <c r="F11" s="280"/>
      <c r="DR11" s="3" t="s">
        <v>13</v>
      </c>
    </row>
    <row r="12" spans="1:122" ht="15" customHeight="1">
      <c r="A12" s="218" t="s">
        <v>308</v>
      </c>
      <c r="B12" s="30">
        <v>0</v>
      </c>
      <c r="C12" s="29"/>
      <c r="D12" s="225" t="s">
        <v>340</v>
      </c>
      <c r="E12" s="30">
        <v>0</v>
      </c>
      <c r="F12" s="23">
        <f>'Tax Old Regime'!Q31</f>
        <v>83784</v>
      </c>
      <c r="DR12" s="3" t="s">
        <v>4</v>
      </c>
    </row>
    <row r="13" spans="1:122" ht="15" customHeight="1">
      <c r="A13" s="216" t="s">
        <v>309</v>
      </c>
      <c r="B13" s="26">
        <v>0</v>
      </c>
      <c r="C13" s="27"/>
      <c r="D13" s="226" t="s">
        <v>328</v>
      </c>
      <c r="E13" s="26">
        <v>0</v>
      </c>
      <c r="F13" s="23"/>
      <c r="DR13" s="3"/>
    </row>
    <row r="14" spans="1:122" ht="15" customHeight="1">
      <c r="A14" s="218" t="s">
        <v>310</v>
      </c>
      <c r="B14" s="30">
        <v>0</v>
      </c>
      <c r="C14" s="29"/>
      <c r="D14" s="220" t="s">
        <v>329</v>
      </c>
      <c r="E14" s="30">
        <v>0</v>
      </c>
      <c r="F14" s="281" t="s">
        <v>333</v>
      </c>
      <c r="DR14" s="3" t="s">
        <v>0</v>
      </c>
    </row>
    <row r="15" spans="1:122" ht="15" customHeight="1">
      <c r="A15" s="216" t="s">
        <v>313</v>
      </c>
      <c r="B15" s="26">
        <v>0</v>
      </c>
      <c r="C15" s="27"/>
      <c r="D15" s="221" t="s">
        <v>330</v>
      </c>
      <c r="E15" s="26">
        <v>0</v>
      </c>
      <c r="F15" s="281"/>
      <c r="DR15" s="3" t="s">
        <v>13</v>
      </c>
    </row>
    <row r="16" spans="1:122" ht="15" customHeight="1">
      <c r="A16" s="218" t="s">
        <v>311</v>
      </c>
      <c r="B16" s="30">
        <v>0</v>
      </c>
      <c r="C16" s="29"/>
      <c r="D16" s="220" t="s">
        <v>332</v>
      </c>
      <c r="E16" s="30">
        <v>0</v>
      </c>
      <c r="F16" s="281"/>
      <c r="DR16" s="3" t="s">
        <v>14</v>
      </c>
    </row>
    <row r="17" spans="1:122" ht="15" customHeight="1">
      <c r="A17" s="216" t="s">
        <v>312</v>
      </c>
      <c r="B17" s="26">
        <v>0</v>
      </c>
      <c r="C17" s="27"/>
      <c r="D17" s="221" t="s">
        <v>335</v>
      </c>
      <c r="E17" s="26">
        <v>0</v>
      </c>
      <c r="F17" s="284">
        <f>IF(B3&gt;=1,(F4*10%+B3),0)</f>
        <v>0</v>
      </c>
      <c r="DR17" s="3" t="s">
        <v>5</v>
      </c>
    </row>
    <row r="18" spans="1:122" ht="15" customHeight="1">
      <c r="A18" s="218" t="s">
        <v>318</v>
      </c>
      <c r="B18" s="30">
        <v>0</v>
      </c>
      <c r="C18" s="29"/>
      <c r="D18" s="220" t="s">
        <v>336</v>
      </c>
      <c r="E18" s="30">
        <v>0</v>
      </c>
      <c r="F18" s="284"/>
      <c r="DR18" s="3" t="s">
        <v>15</v>
      </c>
    </row>
    <row r="19" spans="1:122" ht="15" customHeight="1">
      <c r="A19" s="216" t="s">
        <v>334</v>
      </c>
      <c r="B19" s="26">
        <v>0</v>
      </c>
      <c r="C19" s="208"/>
      <c r="D19" s="221" t="s">
        <v>337</v>
      </c>
      <c r="E19" s="26">
        <v>0</v>
      </c>
      <c r="F19" s="206"/>
      <c r="DR19" s="3"/>
    </row>
    <row r="20" spans="1:122" ht="15" customHeight="1">
      <c r="A20" s="283" t="str">
        <f>'Tax Old Regime'!B63</f>
        <v>Income Tax Payable</v>
      </c>
      <c r="B20" s="283"/>
      <c r="C20" s="19"/>
      <c r="D20" s="20">
        <f>'Tax Old Regime'!Q63</f>
        <v>108054</v>
      </c>
      <c r="E20" s="31" t="s">
        <v>64</v>
      </c>
      <c r="F20" s="21">
        <f>'GA-55'!I31</f>
        <v>64040</v>
      </c>
      <c r="DR20" s="3" t="s">
        <v>7</v>
      </c>
    </row>
    <row r="21" spans="1:122" ht="15" customHeight="1">
      <c r="A21" s="282" t="str">
        <f>"Total Rebate of (US 80C, 80CCC,80CCD(1)) =  "&amp;'Tax Old Regime'!Q31</f>
        <v>Total Rebate of (US 80C, 80CCC,80CCD(1)) =  83784</v>
      </c>
      <c r="B21" s="282"/>
      <c r="C21" s="2"/>
      <c r="D21" s="13" t="str">
        <f>"Investable Amount = "&amp;(150000-'Tax Old Regime'!Q31)</f>
        <v>Investable Amount = 66216</v>
      </c>
      <c r="E21" s="2"/>
      <c r="F21" s="2"/>
      <c r="DR21" s="3" t="s">
        <v>12</v>
      </c>
    </row>
    <row r="22" spans="1:122" ht="48" customHeight="1">
      <c r="A22" s="276" t="s">
        <v>77</v>
      </c>
      <c r="B22" s="277"/>
      <c r="C22" s="277"/>
      <c r="D22" s="277"/>
      <c r="E22" s="277"/>
      <c r="F22" s="277"/>
    </row>
    <row r="577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>
      <formula1>G18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>
      <formula1>G20</formula1>
    </dataValidation>
  </dataValidations>
  <hyperlinks>
    <hyperlink ref="A22" r:id="rId3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79"/>
  <sheetViews>
    <sheetView showGridLines="0" topLeftCell="A34" workbookViewId="0">
      <selection activeCell="B3" sqref="B3"/>
    </sheetView>
  </sheetViews>
  <sheetFormatPr defaultColWidth="0" defaultRowHeight="15.75" zeroHeight="1"/>
  <cols>
    <col min="1" max="1" width="3" customWidth="1" collapsed="1"/>
    <col min="2" max="2" width="3.5703125" style="4" customWidth="1" collapsed="1"/>
    <col min="3" max="3" width="4.5703125" style="5" customWidth="1" collapsed="1"/>
    <col min="4" max="5" width="9.140625" style="5" customWidth="1" collapsed="1"/>
    <col min="6" max="6" width="3.85546875" style="5" customWidth="1" collapsed="1"/>
    <col min="7" max="7" width="4.140625" style="5" customWidth="1" collapsed="1"/>
    <col min="8" max="8" width="2.7109375" style="5" customWidth="1" collapsed="1"/>
    <col min="9" max="9" width="10.5703125" style="5" customWidth="1" collapsed="1"/>
    <col min="10" max="10" width="5.140625" style="5" customWidth="1" collapsed="1"/>
    <col min="11" max="11" width="10.28515625" style="5" customWidth="1" collapsed="1"/>
    <col min="12" max="12" width="11.42578125" style="5" customWidth="1" collapsed="1"/>
    <col min="13" max="13" width="9.42578125" style="5" customWidth="1" collapsed="1"/>
    <col min="14" max="14" width="3.5703125" style="5" customWidth="1" collapsed="1"/>
    <col min="15" max="15" width="11.42578125" style="5" customWidth="1" collapsed="1"/>
    <col min="16" max="16" width="3.140625" style="6" customWidth="1" collapsed="1"/>
    <col min="17" max="17" width="23" style="7" customWidth="1" collapsed="1"/>
    <col min="18" max="18" width="2.42578125" customWidth="1" collapsed="1"/>
    <col min="19" max="16384" width="9.140625" hidden="1" collapsed="1"/>
  </cols>
  <sheetData>
    <row r="1" spans="2:17" s="8" customFormat="1" ht="21">
      <c r="B1" s="338" t="str">
        <f>'GA-55'!C4</f>
        <v>GOVT SR. SEC SCHOOL DILOD GORDHANPURA, ATRU BARAN</v>
      </c>
      <c r="C1" s="338"/>
      <c r="D1" s="338"/>
      <c r="E1" s="338"/>
      <c r="F1" s="338"/>
      <c r="G1" s="338"/>
      <c r="H1" s="338"/>
      <c r="I1" s="338"/>
      <c r="J1" s="338"/>
      <c r="K1" s="338"/>
      <c r="L1" s="338"/>
      <c r="M1" s="338"/>
      <c r="N1" s="338"/>
      <c r="O1" s="338"/>
      <c r="P1" s="338"/>
      <c r="Q1" s="338"/>
    </row>
    <row r="2" spans="2:17" s="8" customFormat="1" ht="16.5" thickBot="1">
      <c r="B2" s="339" t="s">
        <v>373</v>
      </c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</row>
    <row r="3" spans="2:17" s="8" customFormat="1" ht="15" customHeight="1">
      <c r="B3" s="35">
        <v>1</v>
      </c>
      <c r="C3" s="340" t="s">
        <v>297</v>
      </c>
      <c r="D3" s="341"/>
      <c r="E3" s="348" t="str">
        <f>'GA-55'!D6</f>
        <v>PARMANAND MEGHWAL</v>
      </c>
      <c r="F3" s="348"/>
      <c r="G3" s="348"/>
      <c r="H3" s="348"/>
      <c r="I3" s="348"/>
      <c r="J3" s="348"/>
      <c r="K3" s="214" t="s">
        <v>296</v>
      </c>
      <c r="L3" s="349" t="str">
        <f>'GA-55'!K6</f>
        <v>SR TEACHER</v>
      </c>
      <c r="M3" s="349"/>
      <c r="N3" s="349"/>
      <c r="O3" s="36" t="s">
        <v>19</v>
      </c>
      <c r="P3" s="342" t="str">
        <f>IF('GA-55'!P6="","",'GA-55'!P6)</f>
        <v>XXXXXXXXX</v>
      </c>
      <c r="Q3" s="343"/>
    </row>
    <row r="4" spans="2:17" s="8" customFormat="1" ht="15" customHeight="1">
      <c r="B4" s="37">
        <v>2</v>
      </c>
      <c r="C4" s="344" t="s">
        <v>374</v>
      </c>
      <c r="D4" s="344"/>
      <c r="E4" s="291"/>
      <c r="F4" s="291"/>
      <c r="G4" s="291"/>
      <c r="H4" s="291"/>
      <c r="I4" s="291"/>
      <c r="J4" s="291"/>
      <c r="K4" s="344"/>
      <c r="L4" s="291"/>
      <c r="M4" s="291"/>
      <c r="N4" s="291"/>
      <c r="O4" s="344"/>
      <c r="P4" s="211" t="s">
        <v>228</v>
      </c>
      <c r="Q4" s="38">
        <f>'GA-55'!N31</f>
        <v>1090772</v>
      </c>
    </row>
    <row r="5" spans="2:17" s="8" customFormat="1" ht="15" customHeight="1">
      <c r="B5" s="37">
        <v>3</v>
      </c>
      <c r="C5" s="291" t="s">
        <v>226</v>
      </c>
      <c r="D5" s="292"/>
      <c r="E5" s="292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11" t="s">
        <v>228</v>
      </c>
      <c r="Q5" s="39">
        <f>'Other Deduction'!B3</f>
        <v>0</v>
      </c>
    </row>
    <row r="6" spans="2:17" s="8" customFormat="1" ht="15" customHeight="1">
      <c r="B6" s="37"/>
      <c r="C6" s="287" t="s">
        <v>227</v>
      </c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50"/>
      <c r="P6" s="211" t="s">
        <v>228</v>
      </c>
      <c r="Q6" s="207">
        <f>'Other Deduction'!B19</f>
        <v>0</v>
      </c>
    </row>
    <row r="7" spans="2:17" s="8" customFormat="1" ht="15" customHeight="1">
      <c r="B7" s="37">
        <v>4</v>
      </c>
      <c r="C7" s="345" t="s">
        <v>232</v>
      </c>
      <c r="D7" s="345"/>
      <c r="E7" s="345"/>
      <c r="F7" s="345"/>
      <c r="G7" s="345"/>
      <c r="H7" s="345"/>
      <c r="I7" s="345"/>
      <c r="J7" s="345"/>
      <c r="K7" s="345"/>
      <c r="L7" s="345"/>
      <c r="M7" s="345"/>
      <c r="N7" s="345"/>
      <c r="O7" s="345"/>
      <c r="P7" s="211" t="s">
        <v>228</v>
      </c>
      <c r="Q7" s="39">
        <f>Q4-Q5-Q6</f>
        <v>1090772</v>
      </c>
    </row>
    <row r="8" spans="2:17" s="8" customFormat="1" ht="15" customHeight="1">
      <c r="B8" s="304">
        <v>5</v>
      </c>
      <c r="C8" s="346" t="s">
        <v>229</v>
      </c>
      <c r="D8" s="347"/>
      <c r="E8" s="347"/>
      <c r="F8" s="347"/>
      <c r="G8" s="347"/>
      <c r="H8" s="347"/>
      <c r="I8" s="347"/>
      <c r="J8" s="347"/>
      <c r="K8" s="347"/>
      <c r="L8" s="347"/>
      <c r="M8" s="320">
        <f>'Other Deduction'!B4</f>
        <v>0</v>
      </c>
      <c r="N8" s="320"/>
      <c r="O8" s="320"/>
      <c r="P8" s="307"/>
      <c r="Q8" s="308"/>
    </row>
    <row r="9" spans="2:17" s="8" customFormat="1" ht="15" customHeight="1">
      <c r="B9" s="305"/>
      <c r="C9" s="287" t="s">
        <v>230</v>
      </c>
      <c r="D9" s="347"/>
      <c r="E9" s="347"/>
      <c r="F9" s="347"/>
      <c r="G9" s="347"/>
      <c r="H9" s="347"/>
      <c r="I9" s="347"/>
      <c r="J9" s="347"/>
      <c r="K9" s="347"/>
      <c r="L9" s="347"/>
      <c r="M9" s="320">
        <f>'Other Deduction'!B5</f>
        <v>0</v>
      </c>
      <c r="N9" s="320"/>
      <c r="O9" s="320"/>
      <c r="P9" s="311"/>
      <c r="Q9" s="312"/>
    </row>
    <row r="10" spans="2:17" s="8" customFormat="1" ht="15" customHeight="1">
      <c r="B10" s="306"/>
      <c r="C10" s="287" t="s">
        <v>231</v>
      </c>
      <c r="D10" s="347"/>
      <c r="E10" s="347"/>
      <c r="F10" s="347"/>
      <c r="G10" s="347"/>
      <c r="H10" s="347"/>
      <c r="I10" s="347"/>
      <c r="J10" s="347"/>
      <c r="K10" s="347"/>
      <c r="L10" s="347"/>
      <c r="M10" s="320">
        <f>IF(Q7&lt;50000,Q7,50000)</f>
        <v>50000</v>
      </c>
      <c r="N10" s="320"/>
      <c r="O10" s="320"/>
      <c r="P10" s="211" t="s">
        <v>228</v>
      </c>
      <c r="Q10" s="39">
        <f>SUM(M8:O10)</f>
        <v>50000</v>
      </c>
    </row>
    <row r="11" spans="2:17" s="8" customFormat="1" ht="15" customHeight="1">
      <c r="B11" s="37">
        <v>6</v>
      </c>
      <c r="C11" s="324" t="s">
        <v>233</v>
      </c>
      <c r="D11" s="325"/>
      <c r="E11" s="325"/>
      <c r="F11" s="325"/>
      <c r="G11" s="325"/>
      <c r="H11" s="325"/>
      <c r="I11" s="325"/>
      <c r="J11" s="325"/>
      <c r="K11" s="325"/>
      <c r="L11" s="325"/>
      <c r="M11" s="325"/>
      <c r="N11" s="325"/>
      <c r="O11" s="326"/>
      <c r="P11" s="211" t="s">
        <v>228</v>
      </c>
      <c r="Q11" s="39">
        <f>Q7-Q10</f>
        <v>1040772</v>
      </c>
    </row>
    <row r="12" spans="2:17" s="8" customFormat="1" ht="15" customHeight="1">
      <c r="B12" s="290">
        <v>7</v>
      </c>
      <c r="C12" s="291" t="s">
        <v>234</v>
      </c>
      <c r="D12" s="292"/>
      <c r="E12" s="292"/>
      <c r="F12" s="292"/>
      <c r="G12" s="292"/>
      <c r="H12" s="292"/>
      <c r="I12" s="292"/>
      <c r="J12" s="292"/>
      <c r="K12" s="293" t="s">
        <v>235</v>
      </c>
      <c r="L12" s="293"/>
      <c r="M12" s="320">
        <f>'Other Deduction'!B6</f>
        <v>0</v>
      </c>
      <c r="N12" s="320"/>
      <c r="O12" s="320"/>
      <c r="P12" s="321"/>
      <c r="Q12" s="322"/>
    </row>
    <row r="13" spans="2:17" s="8" customFormat="1" ht="15" customHeight="1">
      <c r="B13" s="290"/>
      <c r="C13" s="300" t="s">
        <v>236</v>
      </c>
      <c r="D13" s="301"/>
      <c r="E13" s="297" t="s">
        <v>237</v>
      </c>
      <c r="F13" s="298"/>
      <c r="G13" s="299"/>
      <c r="H13" s="323" t="s">
        <v>238</v>
      </c>
      <c r="I13" s="323"/>
      <c r="J13" s="323"/>
      <c r="K13" s="321" t="s">
        <v>239</v>
      </c>
      <c r="L13" s="321"/>
      <c r="M13" s="293" t="s">
        <v>240</v>
      </c>
      <c r="N13" s="293"/>
      <c r="O13" s="293"/>
      <c r="P13" s="321"/>
      <c r="Q13" s="322"/>
    </row>
    <row r="14" spans="2:17" s="8" customFormat="1" ht="15" customHeight="1">
      <c r="B14" s="290"/>
      <c r="C14" s="302"/>
      <c r="D14" s="303"/>
      <c r="E14" s="294">
        <f>ROUND(M12*0.3,0)</f>
        <v>0</v>
      </c>
      <c r="F14" s="295"/>
      <c r="G14" s="296"/>
      <c r="H14" s="320">
        <f>IF(('GA-55'!W31+'Other Deduction'!B9)&gt;200000,200000,('GA-55'!W31+'Other Deduction'!B9))</f>
        <v>0</v>
      </c>
      <c r="I14" s="320"/>
      <c r="J14" s="320"/>
      <c r="K14" s="320">
        <f>'Other Deduction'!B7</f>
        <v>0</v>
      </c>
      <c r="L14" s="320"/>
      <c r="M14" s="320">
        <f>E14+H14+K14</f>
        <v>0</v>
      </c>
      <c r="N14" s="320"/>
      <c r="O14" s="320"/>
      <c r="P14" s="321"/>
      <c r="Q14" s="322"/>
    </row>
    <row r="15" spans="2:17" s="8" customFormat="1" ht="15" customHeight="1">
      <c r="B15" s="37"/>
      <c r="C15" s="324" t="s">
        <v>242</v>
      </c>
      <c r="D15" s="325"/>
      <c r="E15" s="325"/>
      <c r="F15" s="325"/>
      <c r="G15" s="325"/>
      <c r="H15" s="325"/>
      <c r="I15" s="325"/>
      <c r="J15" s="325"/>
      <c r="K15" s="325"/>
      <c r="L15" s="325"/>
      <c r="M15" s="325"/>
      <c r="N15" s="325"/>
      <c r="O15" s="326"/>
      <c r="P15" s="211" t="s">
        <v>228</v>
      </c>
      <c r="Q15" s="39">
        <f>M12-M14</f>
        <v>0</v>
      </c>
    </row>
    <row r="16" spans="2:17" s="8" customFormat="1" ht="15" customHeight="1">
      <c r="B16" s="37">
        <v>8</v>
      </c>
      <c r="C16" s="324" t="s">
        <v>241</v>
      </c>
      <c r="D16" s="325"/>
      <c r="E16" s="325"/>
      <c r="F16" s="325"/>
      <c r="G16" s="325"/>
      <c r="H16" s="325"/>
      <c r="I16" s="325"/>
      <c r="J16" s="325"/>
      <c r="K16" s="325"/>
      <c r="L16" s="325"/>
      <c r="M16" s="325"/>
      <c r="N16" s="325"/>
      <c r="O16" s="326"/>
      <c r="P16" s="211" t="s">
        <v>228</v>
      </c>
      <c r="Q16" s="39">
        <f>Q11+Q15</f>
        <v>1040772</v>
      </c>
    </row>
    <row r="17" spans="2:17" s="8" customFormat="1" ht="15" customHeight="1">
      <c r="B17" s="37">
        <v>9</v>
      </c>
      <c r="C17" s="292" t="s">
        <v>243</v>
      </c>
      <c r="D17" s="292"/>
      <c r="E17" s="292"/>
      <c r="F17" s="292"/>
      <c r="G17" s="292"/>
      <c r="H17" s="292"/>
      <c r="I17" s="292"/>
      <c r="J17" s="292"/>
      <c r="K17" s="292"/>
      <c r="L17" s="292"/>
      <c r="M17" s="292"/>
      <c r="N17" s="292"/>
      <c r="O17" s="292"/>
      <c r="P17" s="211" t="s">
        <v>228</v>
      </c>
      <c r="Q17" s="39">
        <f>'Other Deduction'!E3+'Other Deduction'!E4</f>
        <v>0</v>
      </c>
    </row>
    <row r="18" spans="2:17" s="8" customFormat="1" ht="15" customHeight="1">
      <c r="B18" s="37">
        <v>10</v>
      </c>
      <c r="C18" s="327" t="s">
        <v>244</v>
      </c>
      <c r="D18" s="328"/>
      <c r="E18" s="328"/>
      <c r="F18" s="328"/>
      <c r="G18" s="328"/>
      <c r="H18" s="328"/>
      <c r="I18" s="328"/>
      <c r="J18" s="328"/>
      <c r="K18" s="328"/>
      <c r="L18" s="328"/>
      <c r="M18" s="328"/>
      <c r="N18" s="328"/>
      <c r="O18" s="329"/>
      <c r="P18" s="211" t="s">
        <v>228</v>
      </c>
      <c r="Q18" s="38">
        <f>Q16+Q17</f>
        <v>1040772</v>
      </c>
    </row>
    <row r="19" spans="2:17" s="8" customFormat="1" ht="15" customHeight="1">
      <c r="B19" s="304">
        <v>11</v>
      </c>
      <c r="C19" s="318" t="s">
        <v>338</v>
      </c>
      <c r="D19" s="318"/>
      <c r="E19" s="318"/>
      <c r="F19" s="318"/>
      <c r="G19" s="318"/>
      <c r="H19" s="318"/>
      <c r="I19" s="318"/>
      <c r="J19" s="318"/>
      <c r="K19" s="318"/>
      <c r="L19" s="318"/>
      <c r="M19" s="318"/>
      <c r="N19" s="318"/>
      <c r="O19" s="318"/>
      <c r="P19" s="318"/>
      <c r="Q19" s="331"/>
    </row>
    <row r="20" spans="2:17" s="8" customFormat="1" ht="15" customHeight="1">
      <c r="B20" s="305"/>
      <c r="C20" s="291" t="s">
        <v>245</v>
      </c>
      <c r="D20" s="332"/>
      <c r="E20" s="332"/>
      <c r="F20" s="332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3"/>
    </row>
    <row r="21" spans="2:17" s="8" customFormat="1" ht="17.25" customHeight="1">
      <c r="B21" s="305"/>
      <c r="C21" s="40" t="s">
        <v>20</v>
      </c>
      <c r="D21" s="291" t="s">
        <v>246</v>
      </c>
      <c r="E21" s="291"/>
      <c r="F21" s="291"/>
      <c r="G21" s="291"/>
      <c r="H21" s="211" t="s">
        <v>228</v>
      </c>
      <c r="I21" s="41">
        <f>'GA-55'!Q31</f>
        <v>36000</v>
      </c>
      <c r="J21" s="40" t="s">
        <v>21</v>
      </c>
      <c r="K21" s="287" t="s">
        <v>255</v>
      </c>
      <c r="L21" s="288"/>
      <c r="M21" s="289"/>
      <c r="N21" s="211" t="s">
        <v>228</v>
      </c>
      <c r="O21" s="41">
        <f>'Other Deduction'!E6</f>
        <v>0</v>
      </c>
      <c r="P21" s="307"/>
      <c r="Q21" s="308"/>
    </row>
    <row r="22" spans="2:17" s="8" customFormat="1" ht="17.25" customHeight="1">
      <c r="B22" s="305"/>
      <c r="C22" s="40" t="s">
        <v>22</v>
      </c>
      <c r="D22" s="291" t="s">
        <v>247</v>
      </c>
      <c r="E22" s="291"/>
      <c r="F22" s="291"/>
      <c r="G22" s="291"/>
      <c r="H22" s="211" t="s">
        <v>228</v>
      </c>
      <c r="I22" s="41">
        <f>'GA-55'!T31+'Other Deduction'!B10</f>
        <v>0</v>
      </c>
      <c r="J22" s="40" t="s">
        <v>23</v>
      </c>
      <c r="K22" s="287" t="s">
        <v>256</v>
      </c>
      <c r="L22" s="288"/>
      <c r="M22" s="289"/>
      <c r="N22" s="211" t="s">
        <v>228</v>
      </c>
      <c r="O22" s="42">
        <f>'Other Deduction'!B15</f>
        <v>0</v>
      </c>
      <c r="P22" s="309"/>
      <c r="Q22" s="310"/>
    </row>
    <row r="23" spans="2:17" s="8" customFormat="1" ht="17.25" customHeight="1">
      <c r="B23" s="305"/>
      <c r="C23" s="40" t="s">
        <v>24</v>
      </c>
      <c r="D23" s="291" t="s">
        <v>248</v>
      </c>
      <c r="E23" s="291"/>
      <c r="F23" s="291"/>
      <c r="G23" s="291"/>
      <c r="H23" s="211" t="s">
        <v>228</v>
      </c>
      <c r="I23" s="41">
        <f>'Other Deduction'!B14</f>
        <v>0</v>
      </c>
      <c r="J23" s="40" t="s">
        <v>25</v>
      </c>
      <c r="K23" s="287" t="s">
        <v>257</v>
      </c>
      <c r="L23" s="288"/>
      <c r="M23" s="289"/>
      <c r="N23" s="211" t="s">
        <v>228</v>
      </c>
      <c r="O23" s="42">
        <f>'Other Deduction'!B12</f>
        <v>0</v>
      </c>
      <c r="P23" s="309"/>
      <c r="Q23" s="310"/>
    </row>
    <row r="24" spans="2:17" s="8" customFormat="1" ht="17.25" customHeight="1">
      <c r="B24" s="305"/>
      <c r="C24" s="40" t="s">
        <v>26</v>
      </c>
      <c r="D24" s="291" t="s">
        <v>249</v>
      </c>
      <c r="E24" s="291"/>
      <c r="F24" s="291"/>
      <c r="G24" s="291"/>
      <c r="H24" s="211" t="s">
        <v>228</v>
      </c>
      <c r="I24" s="41">
        <f>'Other Deduction'!B16</f>
        <v>0</v>
      </c>
      <c r="J24" s="40" t="s">
        <v>27</v>
      </c>
      <c r="K24" s="287" t="s">
        <v>331</v>
      </c>
      <c r="L24" s="288"/>
      <c r="M24" s="289"/>
      <c r="N24" s="211" t="s">
        <v>228</v>
      </c>
      <c r="O24" s="41">
        <f>'Other Deduction'!E15</f>
        <v>0</v>
      </c>
      <c r="P24" s="309"/>
      <c r="Q24" s="310"/>
    </row>
    <row r="25" spans="2:17" s="8" customFormat="1" ht="17.25" customHeight="1">
      <c r="B25" s="305"/>
      <c r="C25" s="40" t="s">
        <v>28</v>
      </c>
      <c r="D25" s="291" t="s">
        <v>250</v>
      </c>
      <c r="E25" s="291"/>
      <c r="F25" s="291"/>
      <c r="G25" s="291"/>
      <c r="H25" s="211" t="s">
        <v>228</v>
      </c>
      <c r="I25" s="41">
        <f>'Other Deduction'!B17</f>
        <v>0</v>
      </c>
      <c r="J25" s="40" t="s">
        <v>31</v>
      </c>
      <c r="K25" s="287" t="s">
        <v>314</v>
      </c>
      <c r="L25" s="288"/>
      <c r="M25" s="289"/>
      <c r="N25" s="211" t="s">
        <v>228</v>
      </c>
      <c r="O25" s="41">
        <f>'Other Deduction'!E16</f>
        <v>0</v>
      </c>
      <c r="P25" s="309"/>
      <c r="Q25" s="310"/>
    </row>
    <row r="26" spans="2:17" s="8" customFormat="1" ht="30" customHeight="1">
      <c r="B26" s="305"/>
      <c r="C26" s="40" t="s">
        <v>30</v>
      </c>
      <c r="D26" s="313" t="s">
        <v>251</v>
      </c>
      <c r="E26" s="314"/>
      <c r="F26" s="314"/>
      <c r="G26" s="315"/>
      <c r="H26" s="211" t="s">
        <v>228</v>
      </c>
      <c r="I26" s="41">
        <f>'GA-55'!O31</f>
        <v>47084</v>
      </c>
      <c r="J26" s="40" t="s">
        <v>29</v>
      </c>
      <c r="K26" s="287" t="s">
        <v>315</v>
      </c>
      <c r="L26" s="316"/>
      <c r="M26" s="317"/>
      <c r="N26" s="211" t="s">
        <v>228</v>
      </c>
      <c r="O26" s="41">
        <f>'Other Deduction'!B11</f>
        <v>0</v>
      </c>
      <c r="P26" s="309"/>
      <c r="Q26" s="310"/>
    </row>
    <row r="27" spans="2:17" s="8" customFormat="1" ht="17.25" customHeight="1">
      <c r="B27" s="305"/>
      <c r="C27" s="40" t="s">
        <v>32</v>
      </c>
      <c r="D27" s="287" t="s">
        <v>252</v>
      </c>
      <c r="E27" s="288"/>
      <c r="F27" s="288"/>
      <c r="G27" s="289"/>
      <c r="H27" s="211" t="s">
        <v>228</v>
      </c>
      <c r="I27" s="42">
        <f>'GA-55'!U11</f>
        <v>700</v>
      </c>
      <c r="J27" s="40" t="s">
        <v>33</v>
      </c>
      <c r="K27" s="287" t="s">
        <v>316</v>
      </c>
      <c r="L27" s="288"/>
      <c r="M27" s="289"/>
      <c r="N27" s="211" t="s">
        <v>228</v>
      </c>
      <c r="O27" s="41">
        <f>'Other Deduction'!E5</f>
        <v>0</v>
      </c>
      <c r="P27" s="309"/>
      <c r="Q27" s="310"/>
    </row>
    <row r="28" spans="2:17" s="8" customFormat="1" ht="17.25" customHeight="1">
      <c r="B28" s="305"/>
      <c r="C28" s="40" t="s">
        <v>34</v>
      </c>
      <c r="D28" s="291" t="s">
        <v>253</v>
      </c>
      <c r="E28" s="291"/>
      <c r="F28" s="291"/>
      <c r="G28" s="291"/>
      <c r="H28" s="211" t="s">
        <v>228</v>
      </c>
      <c r="I28" s="42">
        <f>'Other Deduction'!B13</f>
        <v>0</v>
      </c>
      <c r="J28" s="40" t="s">
        <v>35</v>
      </c>
      <c r="K28" s="287" t="s">
        <v>317</v>
      </c>
      <c r="L28" s="288"/>
      <c r="M28" s="289"/>
      <c r="N28" s="211" t="s">
        <v>228</v>
      </c>
      <c r="O28" s="41">
        <f>'Other Deduction'!B18</f>
        <v>0</v>
      </c>
      <c r="P28" s="309"/>
      <c r="Q28" s="310"/>
    </row>
    <row r="29" spans="2:17" s="8" customFormat="1" ht="17.25" customHeight="1">
      <c r="B29" s="305"/>
      <c r="C29" s="40" t="s">
        <v>36</v>
      </c>
      <c r="D29" s="291" t="s">
        <v>254</v>
      </c>
      <c r="E29" s="291"/>
      <c r="F29" s="291"/>
      <c r="G29" s="291"/>
      <c r="H29" s="211" t="s">
        <v>228</v>
      </c>
      <c r="I29" s="41">
        <f>'GA-55'!V31+'Other Deduction'!B8</f>
        <v>0</v>
      </c>
      <c r="J29" s="40" t="s">
        <v>65</v>
      </c>
      <c r="K29" s="337"/>
      <c r="L29" s="337"/>
      <c r="M29" s="337"/>
      <c r="N29" s="211" t="s">
        <v>228</v>
      </c>
      <c r="O29" s="41"/>
      <c r="P29" s="309"/>
      <c r="Q29" s="310"/>
    </row>
    <row r="30" spans="2:17" s="8" customFormat="1" ht="15" customHeight="1">
      <c r="B30" s="305"/>
      <c r="C30" s="334" t="s">
        <v>258</v>
      </c>
      <c r="D30" s="335"/>
      <c r="E30" s="335"/>
      <c r="F30" s="335"/>
      <c r="G30" s="335"/>
      <c r="H30" s="335"/>
      <c r="I30" s="335"/>
      <c r="J30" s="335"/>
      <c r="K30" s="335"/>
      <c r="L30" s="335"/>
      <c r="M30" s="336"/>
      <c r="N30" s="211" t="s">
        <v>228</v>
      </c>
      <c r="O30" s="43">
        <f>SUM(I21:I29)+SUM(O21:O29)</f>
        <v>83784</v>
      </c>
      <c r="P30" s="311"/>
      <c r="Q30" s="312"/>
    </row>
    <row r="31" spans="2:17" s="8" customFormat="1" ht="15" customHeight="1">
      <c r="B31" s="305"/>
      <c r="C31" s="345" t="s">
        <v>260</v>
      </c>
      <c r="D31" s="345"/>
      <c r="E31" s="345"/>
      <c r="F31" s="345"/>
      <c r="G31" s="345"/>
      <c r="H31" s="345"/>
      <c r="I31" s="345"/>
      <c r="J31" s="345"/>
      <c r="K31" s="345"/>
      <c r="L31" s="345"/>
      <c r="M31" s="345"/>
      <c r="N31" s="345"/>
      <c r="O31" s="345"/>
      <c r="P31" s="211" t="s">
        <v>228</v>
      </c>
      <c r="Q31" s="38">
        <f>IF(O30&lt;150001,ROUND(O30,0),150000)</f>
        <v>83784</v>
      </c>
    </row>
    <row r="32" spans="2:17" s="8" customFormat="1" ht="15" customHeight="1">
      <c r="B32" s="305"/>
      <c r="C32" s="287" t="s">
        <v>261</v>
      </c>
      <c r="D32" s="347"/>
      <c r="E32" s="347"/>
      <c r="F32" s="347"/>
      <c r="G32" s="347"/>
      <c r="H32" s="347"/>
      <c r="I32" s="347"/>
      <c r="J32" s="347"/>
      <c r="K32" s="347"/>
      <c r="L32" s="347"/>
      <c r="M32" s="347"/>
      <c r="N32" s="347"/>
      <c r="O32" s="350"/>
      <c r="P32" s="211" t="s">
        <v>228</v>
      </c>
      <c r="Q32" s="38">
        <f>'Other Deduction'!E7</f>
        <v>0</v>
      </c>
    </row>
    <row r="33" spans="2:17" s="8" customFormat="1" ht="15" customHeight="1">
      <c r="B33" s="306"/>
      <c r="C33" s="345" t="s">
        <v>259</v>
      </c>
      <c r="D33" s="345"/>
      <c r="E33" s="345"/>
      <c r="F33" s="345"/>
      <c r="G33" s="345"/>
      <c r="H33" s="345"/>
      <c r="I33" s="345"/>
      <c r="J33" s="345"/>
      <c r="K33" s="345"/>
      <c r="L33" s="345"/>
      <c r="M33" s="345"/>
      <c r="N33" s="345"/>
      <c r="O33" s="345"/>
      <c r="P33" s="211" t="s">
        <v>228</v>
      </c>
      <c r="Q33" s="38">
        <f>SUM(Q31:Q32)</f>
        <v>83784</v>
      </c>
    </row>
    <row r="34" spans="2:17" s="8" customFormat="1" ht="15" customHeight="1">
      <c r="B34" s="304">
        <v>12</v>
      </c>
      <c r="C34" s="318" t="s">
        <v>262</v>
      </c>
      <c r="D34" s="318"/>
      <c r="E34" s="318"/>
      <c r="F34" s="318"/>
      <c r="G34" s="318"/>
      <c r="H34" s="318"/>
      <c r="I34" s="318"/>
      <c r="J34" s="318"/>
      <c r="K34" s="318"/>
      <c r="L34" s="318"/>
      <c r="M34" s="318"/>
      <c r="N34" s="318"/>
      <c r="O34" s="318"/>
      <c r="P34" s="318"/>
      <c r="Q34" s="331"/>
    </row>
    <row r="35" spans="2:17" s="8" customFormat="1" ht="15" customHeight="1">
      <c r="B35" s="305"/>
      <c r="C35" s="351" t="s">
        <v>263</v>
      </c>
      <c r="D35" s="352"/>
      <c r="E35" s="352"/>
      <c r="F35" s="352"/>
      <c r="G35" s="352"/>
      <c r="H35" s="352"/>
      <c r="I35" s="352"/>
      <c r="J35" s="352"/>
      <c r="K35" s="352"/>
      <c r="L35" s="352"/>
      <c r="M35" s="352"/>
      <c r="N35" s="352"/>
      <c r="O35" s="353"/>
      <c r="P35" s="211" t="s">
        <v>228</v>
      </c>
      <c r="Q35" s="39">
        <f>'Other Deduction'!E8</f>
        <v>0</v>
      </c>
    </row>
    <row r="36" spans="2:17" s="8" customFormat="1" ht="15" customHeight="1">
      <c r="B36" s="305"/>
      <c r="C36" s="354" t="s">
        <v>265</v>
      </c>
      <c r="D36" s="354"/>
      <c r="E36" s="354"/>
      <c r="F36" s="354"/>
      <c r="G36" s="354"/>
      <c r="H36" s="354"/>
      <c r="I36" s="354"/>
      <c r="J36" s="354"/>
      <c r="K36" s="354"/>
      <c r="L36" s="354"/>
      <c r="M36" s="354"/>
      <c r="N36" s="354"/>
      <c r="O36" s="354"/>
      <c r="P36" s="211" t="s">
        <v>228</v>
      </c>
      <c r="Q36" s="39">
        <f>'Other Deduction'!E9</f>
        <v>0</v>
      </c>
    </row>
    <row r="37" spans="2:17" s="8" customFormat="1" ht="15" customHeight="1">
      <c r="B37" s="305"/>
      <c r="C37" s="354" t="s">
        <v>264</v>
      </c>
      <c r="D37" s="354"/>
      <c r="E37" s="354"/>
      <c r="F37" s="354"/>
      <c r="G37" s="354"/>
      <c r="H37" s="354"/>
      <c r="I37" s="354"/>
      <c r="J37" s="354"/>
      <c r="K37" s="354"/>
      <c r="L37" s="354"/>
      <c r="M37" s="354"/>
      <c r="N37" s="354"/>
      <c r="O37" s="354"/>
      <c r="P37" s="211" t="s">
        <v>228</v>
      </c>
      <c r="Q37" s="39">
        <f>'Other Deduction'!E10</f>
        <v>0</v>
      </c>
    </row>
    <row r="38" spans="2:17" s="8" customFormat="1" ht="15" customHeight="1">
      <c r="B38" s="305"/>
      <c r="C38" s="291" t="s">
        <v>266</v>
      </c>
      <c r="D38" s="291"/>
      <c r="E38" s="291"/>
      <c r="F38" s="291"/>
      <c r="G38" s="291"/>
      <c r="H38" s="291"/>
      <c r="I38" s="291"/>
      <c r="J38" s="291"/>
      <c r="K38" s="291"/>
      <c r="L38" s="291"/>
      <c r="M38" s="291"/>
      <c r="N38" s="291"/>
      <c r="O38" s="291"/>
      <c r="P38" s="211" t="s">
        <v>228</v>
      </c>
      <c r="Q38" s="39">
        <f>'Other Deduction'!E11</f>
        <v>0</v>
      </c>
    </row>
    <row r="39" spans="2:17" s="8" customFormat="1" ht="15" customHeight="1">
      <c r="B39" s="305"/>
      <c r="C39" s="354" t="s">
        <v>341</v>
      </c>
      <c r="D39" s="354"/>
      <c r="E39" s="354"/>
      <c r="F39" s="354"/>
      <c r="G39" s="354"/>
      <c r="H39" s="354"/>
      <c r="I39" s="354"/>
      <c r="J39" s="354"/>
      <c r="K39" s="354"/>
      <c r="L39" s="354"/>
      <c r="M39" s="354"/>
      <c r="N39" s="354"/>
      <c r="O39" s="354"/>
      <c r="P39" s="211" t="s">
        <v>228</v>
      </c>
      <c r="Q39" s="39">
        <f>'Other Deduction'!E12</f>
        <v>0</v>
      </c>
    </row>
    <row r="40" spans="2:17" s="8" customFormat="1" ht="15" customHeight="1">
      <c r="B40" s="305"/>
      <c r="C40" s="351" t="s">
        <v>268</v>
      </c>
      <c r="D40" s="352"/>
      <c r="E40" s="352"/>
      <c r="F40" s="352"/>
      <c r="G40" s="352"/>
      <c r="H40" s="352"/>
      <c r="I40" s="352"/>
      <c r="J40" s="352"/>
      <c r="K40" s="352"/>
      <c r="L40" s="352"/>
      <c r="M40" s="352"/>
      <c r="N40" s="352"/>
      <c r="O40" s="353"/>
      <c r="P40" s="211" t="s">
        <v>228</v>
      </c>
      <c r="Q40" s="39">
        <f>'Other Deduction'!E13</f>
        <v>0</v>
      </c>
    </row>
    <row r="41" spans="2:17" s="8" customFormat="1" ht="15" customHeight="1">
      <c r="B41" s="305"/>
      <c r="C41" s="351" t="s">
        <v>269</v>
      </c>
      <c r="D41" s="352"/>
      <c r="E41" s="352"/>
      <c r="F41" s="352"/>
      <c r="G41" s="352"/>
      <c r="H41" s="352"/>
      <c r="I41" s="352"/>
      <c r="J41" s="352"/>
      <c r="K41" s="352"/>
      <c r="L41" s="352"/>
      <c r="M41" s="352"/>
      <c r="N41" s="352"/>
      <c r="O41" s="353"/>
      <c r="P41" s="211" t="s">
        <v>228</v>
      </c>
      <c r="Q41" s="39">
        <f>IF('GA-55'!AB2&lt;&gt;"No",IF('Other Deduction'!E3&lt;50001,'Other Deduction'!E3,50000),IF('Other Deduction'!E3&lt;10001,'Other Deduction'!E3,10000))</f>
        <v>0</v>
      </c>
    </row>
    <row r="42" spans="2:17" s="8" customFormat="1" ht="15" customHeight="1">
      <c r="B42" s="305"/>
      <c r="C42" s="351" t="s">
        <v>270</v>
      </c>
      <c r="D42" s="352"/>
      <c r="E42" s="352"/>
      <c r="F42" s="352"/>
      <c r="G42" s="352"/>
      <c r="H42" s="352"/>
      <c r="I42" s="352"/>
      <c r="J42" s="352"/>
      <c r="K42" s="352"/>
      <c r="L42" s="352"/>
      <c r="M42" s="352"/>
      <c r="N42" s="352"/>
      <c r="O42" s="353"/>
      <c r="P42" s="211" t="s">
        <v>228</v>
      </c>
      <c r="Q42" s="39">
        <f>'Other Deduction'!E14</f>
        <v>0</v>
      </c>
    </row>
    <row r="43" spans="2:17" s="8" customFormat="1" ht="15" customHeight="1">
      <c r="B43" s="305"/>
      <c r="C43" s="351" t="s">
        <v>271</v>
      </c>
      <c r="D43" s="352"/>
      <c r="E43" s="352"/>
      <c r="F43" s="352"/>
      <c r="G43" s="352"/>
      <c r="H43" s="352"/>
      <c r="I43" s="352"/>
      <c r="J43" s="352"/>
      <c r="K43" s="352"/>
      <c r="L43" s="352"/>
      <c r="M43" s="352"/>
      <c r="N43" s="352"/>
      <c r="O43" s="353"/>
      <c r="P43" s="211" t="s">
        <v>228</v>
      </c>
      <c r="Q43" s="39">
        <f>'Other Deduction'!E19</f>
        <v>0</v>
      </c>
    </row>
    <row r="44" spans="2:17" s="8" customFormat="1" ht="15" customHeight="1">
      <c r="B44" s="306"/>
      <c r="C44" s="345" t="s">
        <v>272</v>
      </c>
      <c r="D44" s="345"/>
      <c r="E44" s="345"/>
      <c r="F44" s="345"/>
      <c r="G44" s="345"/>
      <c r="H44" s="345"/>
      <c r="I44" s="345"/>
      <c r="J44" s="345"/>
      <c r="K44" s="345"/>
      <c r="L44" s="345"/>
      <c r="M44" s="345"/>
      <c r="N44" s="345"/>
      <c r="O44" s="345"/>
      <c r="P44" s="211" t="s">
        <v>228</v>
      </c>
      <c r="Q44" s="44">
        <f>SUM(Q35:Q43)</f>
        <v>0</v>
      </c>
    </row>
    <row r="45" spans="2:17" s="8" customFormat="1" ht="15" customHeight="1">
      <c r="B45" s="37">
        <v>13</v>
      </c>
      <c r="C45" s="318" t="s">
        <v>273</v>
      </c>
      <c r="D45" s="318"/>
      <c r="E45" s="318"/>
      <c r="F45" s="318"/>
      <c r="G45" s="318"/>
      <c r="H45" s="318"/>
      <c r="I45" s="318"/>
      <c r="J45" s="318"/>
      <c r="K45" s="318"/>
      <c r="L45" s="318"/>
      <c r="M45" s="318"/>
      <c r="N45" s="318"/>
      <c r="O45" s="318"/>
      <c r="P45" s="211" t="s">
        <v>228</v>
      </c>
      <c r="Q45" s="39">
        <f>Q33+Q44</f>
        <v>83784</v>
      </c>
    </row>
    <row r="46" spans="2:17" s="8" customFormat="1" ht="15" customHeight="1">
      <c r="B46" s="37">
        <v>14</v>
      </c>
      <c r="C46" s="318" t="s">
        <v>274</v>
      </c>
      <c r="D46" s="318"/>
      <c r="E46" s="318"/>
      <c r="F46" s="318"/>
      <c r="G46" s="318"/>
      <c r="H46" s="318"/>
      <c r="I46" s="318"/>
      <c r="J46" s="318"/>
      <c r="K46" s="318"/>
      <c r="L46" s="318"/>
      <c r="M46" s="318"/>
      <c r="N46" s="318"/>
      <c r="O46" s="318"/>
      <c r="P46" s="211" t="s">
        <v>228</v>
      </c>
      <c r="Q46" s="39">
        <f>(Q18-Q45)</f>
        <v>956988</v>
      </c>
    </row>
    <row r="47" spans="2:17" s="8" customFormat="1">
      <c r="B47" s="37">
        <v>15</v>
      </c>
      <c r="C47" s="318" t="s">
        <v>275</v>
      </c>
      <c r="D47" s="318"/>
      <c r="E47" s="318"/>
      <c r="F47" s="318"/>
      <c r="G47" s="318"/>
      <c r="H47" s="318"/>
      <c r="I47" s="318"/>
      <c r="J47" s="318"/>
      <c r="K47" s="318"/>
      <c r="L47" s="318"/>
      <c r="M47" s="318"/>
      <c r="N47" s="318"/>
      <c r="O47" s="318"/>
      <c r="P47" s="211" t="s">
        <v>228</v>
      </c>
      <c r="Q47" s="38">
        <f>ROUND(Q46,-1)</f>
        <v>956990</v>
      </c>
    </row>
    <row r="48" spans="2:17" s="8" customFormat="1" ht="15" customHeight="1">
      <c r="B48" s="304">
        <v>16</v>
      </c>
      <c r="C48" s="291" t="s">
        <v>276</v>
      </c>
      <c r="D48" s="291"/>
      <c r="E48" s="291"/>
      <c r="F48" s="291"/>
      <c r="G48" s="291"/>
      <c r="H48" s="291"/>
      <c r="I48" s="291"/>
      <c r="J48" s="291"/>
      <c r="K48" s="291"/>
      <c r="L48" s="291"/>
      <c r="M48" s="291"/>
      <c r="N48" s="291"/>
      <c r="O48" s="291"/>
      <c r="P48" s="291"/>
      <c r="Q48" s="374"/>
    </row>
    <row r="49" spans="2:17" s="8" customFormat="1" ht="15" customHeight="1">
      <c r="B49" s="305"/>
      <c r="C49" s="375" t="s">
        <v>277</v>
      </c>
      <c r="D49" s="375"/>
      <c r="E49" s="375"/>
      <c r="F49" s="375"/>
      <c r="G49" s="375"/>
      <c r="H49" s="375" t="s">
        <v>278</v>
      </c>
      <c r="I49" s="375"/>
      <c r="J49" s="375"/>
      <c r="K49" s="375"/>
      <c r="L49" s="376" t="s">
        <v>279</v>
      </c>
      <c r="M49" s="377"/>
      <c r="N49" s="377"/>
      <c r="O49" s="378"/>
      <c r="P49" s="45"/>
      <c r="Q49" s="46"/>
    </row>
    <row r="50" spans="2:17" s="8" customFormat="1" ht="15" customHeight="1">
      <c r="B50" s="305"/>
      <c r="C50" s="297" t="s">
        <v>280</v>
      </c>
      <c r="D50" s="298"/>
      <c r="E50" s="299"/>
      <c r="F50" s="293" t="s">
        <v>37</v>
      </c>
      <c r="G50" s="293"/>
      <c r="H50" s="297" t="s">
        <v>281</v>
      </c>
      <c r="I50" s="298"/>
      <c r="J50" s="299"/>
      <c r="K50" s="210" t="s">
        <v>37</v>
      </c>
      <c r="L50" s="297" t="s">
        <v>281</v>
      </c>
      <c r="M50" s="298"/>
      <c r="N50" s="299"/>
      <c r="O50" s="210" t="s">
        <v>37</v>
      </c>
      <c r="P50" s="211" t="s">
        <v>228</v>
      </c>
      <c r="Q50" s="47">
        <v>0</v>
      </c>
    </row>
    <row r="51" spans="2:17" s="8" customFormat="1" ht="15" customHeight="1">
      <c r="B51" s="305"/>
      <c r="C51" s="297" t="s">
        <v>38</v>
      </c>
      <c r="D51" s="298"/>
      <c r="E51" s="299"/>
      <c r="F51" s="330">
        <v>0.05</v>
      </c>
      <c r="G51" s="293"/>
      <c r="H51" s="293" t="s">
        <v>54</v>
      </c>
      <c r="I51" s="293"/>
      <c r="J51" s="293"/>
      <c r="K51" s="209">
        <v>0.05</v>
      </c>
      <c r="L51" s="297" t="s">
        <v>282</v>
      </c>
      <c r="M51" s="298"/>
      <c r="N51" s="299"/>
      <c r="O51" s="209" t="s">
        <v>37</v>
      </c>
      <c r="P51" s="211" t="s">
        <v>228</v>
      </c>
      <c r="Q51" s="47">
        <f>ROUND(IF('GA-55'!AB2="No",IF(Q47&lt;250001,0,IF(Q47&gt;500000,12500,((Q47-250000)*0.05))),IF(Q47&lt;300001,0,IF(Q47&gt;500000,10000,((Q47-300000)*0.05)))),0)</f>
        <v>12500</v>
      </c>
    </row>
    <row r="52" spans="2:17" s="8" customFormat="1" ht="15" customHeight="1">
      <c r="B52" s="305"/>
      <c r="C52" s="297" t="s">
        <v>39</v>
      </c>
      <c r="D52" s="298"/>
      <c r="E52" s="299"/>
      <c r="F52" s="330">
        <v>0.2</v>
      </c>
      <c r="G52" s="293"/>
      <c r="H52" s="293" t="s">
        <v>39</v>
      </c>
      <c r="I52" s="293"/>
      <c r="J52" s="293"/>
      <c r="K52" s="209">
        <v>0.2</v>
      </c>
      <c r="L52" s="297" t="s">
        <v>39</v>
      </c>
      <c r="M52" s="298"/>
      <c r="N52" s="299"/>
      <c r="O52" s="209">
        <v>0.2</v>
      </c>
      <c r="P52" s="211" t="s">
        <v>228</v>
      </c>
      <c r="Q52" s="47">
        <f>IF(Q47&lt;500001,0,IF(Q47&gt;1000000,100000,((Q47-500000)*0.2)))</f>
        <v>91398</v>
      </c>
    </row>
    <row r="53" spans="2:17" s="8" customFormat="1" ht="15" customHeight="1">
      <c r="B53" s="305"/>
      <c r="C53" s="297" t="s">
        <v>283</v>
      </c>
      <c r="D53" s="298"/>
      <c r="E53" s="299"/>
      <c r="F53" s="330">
        <v>0.3</v>
      </c>
      <c r="G53" s="293"/>
      <c r="H53" s="293" t="s">
        <v>283</v>
      </c>
      <c r="I53" s="293"/>
      <c r="J53" s="293"/>
      <c r="K53" s="209">
        <v>0.3</v>
      </c>
      <c r="L53" s="297" t="s">
        <v>283</v>
      </c>
      <c r="M53" s="298"/>
      <c r="N53" s="299"/>
      <c r="O53" s="209">
        <v>0.3</v>
      </c>
      <c r="P53" s="211" t="s">
        <v>228</v>
      </c>
      <c r="Q53" s="47">
        <f>IF(Q47&lt;1000001,0,((Q47-1000000)*0.3))</f>
        <v>0</v>
      </c>
    </row>
    <row r="54" spans="2:17" s="8" customFormat="1" ht="15" customHeight="1">
      <c r="B54" s="305"/>
      <c r="C54" s="368" t="s">
        <v>284</v>
      </c>
      <c r="D54" s="369"/>
      <c r="E54" s="369"/>
      <c r="F54" s="369"/>
      <c r="G54" s="369"/>
      <c r="H54" s="369"/>
      <c r="I54" s="369"/>
      <c r="J54" s="369"/>
      <c r="K54" s="369"/>
      <c r="L54" s="369"/>
      <c r="M54" s="369"/>
      <c r="N54" s="369"/>
      <c r="O54" s="370"/>
      <c r="P54" s="211" t="s">
        <v>228</v>
      </c>
      <c r="Q54" s="38">
        <f>SUM(Q50:Q53)</f>
        <v>103898</v>
      </c>
    </row>
    <row r="55" spans="2:17" s="8" customFormat="1" ht="15" customHeight="1">
      <c r="B55" s="305"/>
      <c r="C55" s="379" t="s">
        <v>285</v>
      </c>
      <c r="D55" s="380"/>
      <c r="E55" s="380"/>
      <c r="F55" s="380"/>
      <c r="G55" s="380"/>
      <c r="H55" s="380"/>
      <c r="I55" s="380"/>
      <c r="J55" s="380"/>
      <c r="K55" s="380"/>
      <c r="L55" s="380"/>
      <c r="M55" s="380"/>
      <c r="N55" s="380"/>
      <c r="O55" s="381"/>
      <c r="P55" s="211" t="s">
        <v>228</v>
      </c>
      <c r="Q55" s="39">
        <f>IF(Q47&gt;500000,0,IF(Q54&lt;12501,Q54,12500))</f>
        <v>0</v>
      </c>
    </row>
    <row r="56" spans="2:17" s="8" customFormat="1" ht="15" customHeight="1">
      <c r="B56" s="305"/>
      <c r="C56" s="368" t="s">
        <v>286</v>
      </c>
      <c r="D56" s="369"/>
      <c r="E56" s="369"/>
      <c r="F56" s="369"/>
      <c r="G56" s="369"/>
      <c r="H56" s="369"/>
      <c r="I56" s="369"/>
      <c r="J56" s="369"/>
      <c r="K56" s="369"/>
      <c r="L56" s="369"/>
      <c r="M56" s="369"/>
      <c r="N56" s="369"/>
      <c r="O56" s="370"/>
      <c r="P56" s="211" t="s">
        <v>228</v>
      </c>
      <c r="Q56" s="38">
        <f>Q54-Q55</f>
        <v>103898</v>
      </c>
    </row>
    <row r="57" spans="2:17" s="8" customFormat="1" ht="15" customHeight="1">
      <c r="B57" s="305"/>
      <c r="C57" s="368" t="s">
        <v>287</v>
      </c>
      <c r="D57" s="369"/>
      <c r="E57" s="369"/>
      <c r="F57" s="369"/>
      <c r="G57" s="369"/>
      <c r="H57" s="369"/>
      <c r="I57" s="369"/>
      <c r="J57" s="369"/>
      <c r="K57" s="369"/>
      <c r="L57" s="369"/>
      <c r="M57" s="369"/>
      <c r="N57" s="369"/>
      <c r="O57" s="370"/>
      <c r="P57" s="211" t="s">
        <v>228</v>
      </c>
      <c r="Q57" s="39">
        <f>ROUND(Q56*0.04,0)</f>
        <v>4156</v>
      </c>
    </row>
    <row r="58" spans="2:17" s="8" customFormat="1" ht="15" customHeight="1">
      <c r="B58" s="306"/>
      <c r="C58" s="371" t="s">
        <v>288</v>
      </c>
      <c r="D58" s="372"/>
      <c r="E58" s="372"/>
      <c r="F58" s="372"/>
      <c r="G58" s="372"/>
      <c r="H58" s="372"/>
      <c r="I58" s="372"/>
      <c r="J58" s="372"/>
      <c r="K58" s="372"/>
      <c r="L58" s="372"/>
      <c r="M58" s="372"/>
      <c r="N58" s="372"/>
      <c r="O58" s="373"/>
      <c r="P58" s="211" t="s">
        <v>228</v>
      </c>
      <c r="Q58" s="38">
        <f>SUM(Q56:Q57)</f>
        <v>108054</v>
      </c>
    </row>
    <row r="59" spans="2:17" s="8" customFormat="1" ht="15" customHeight="1">
      <c r="B59" s="37">
        <v>17</v>
      </c>
      <c r="C59" s="287" t="s">
        <v>289</v>
      </c>
      <c r="D59" s="288"/>
      <c r="E59" s="288"/>
      <c r="F59" s="288"/>
      <c r="G59" s="288"/>
      <c r="H59" s="288"/>
      <c r="I59" s="288"/>
      <c r="J59" s="288"/>
      <c r="K59" s="288"/>
      <c r="L59" s="288"/>
      <c r="M59" s="288"/>
      <c r="N59" s="288"/>
      <c r="O59" s="289"/>
      <c r="P59" s="211" t="s">
        <v>228</v>
      </c>
      <c r="Q59" s="39">
        <f>'Other Deduction'!E17</f>
        <v>0</v>
      </c>
    </row>
    <row r="60" spans="2:17" s="8" customFormat="1" ht="15" customHeight="1">
      <c r="B60" s="37">
        <v>18</v>
      </c>
      <c r="C60" s="318" t="s">
        <v>290</v>
      </c>
      <c r="D60" s="318"/>
      <c r="E60" s="318"/>
      <c r="F60" s="318"/>
      <c r="G60" s="318"/>
      <c r="H60" s="318"/>
      <c r="I60" s="318"/>
      <c r="J60" s="318"/>
      <c r="K60" s="318"/>
      <c r="L60" s="318"/>
      <c r="M60" s="318"/>
      <c r="N60" s="318"/>
      <c r="O60" s="318"/>
      <c r="P60" s="211" t="s">
        <v>228</v>
      </c>
      <c r="Q60" s="38">
        <f>Q58-Q59</f>
        <v>108054</v>
      </c>
    </row>
    <row r="61" spans="2:17" ht="33.75" customHeight="1">
      <c r="B61" s="304">
        <v>19</v>
      </c>
      <c r="C61" s="363" t="s">
        <v>291</v>
      </c>
      <c r="D61" s="363"/>
      <c r="E61" s="364"/>
      <c r="F61" s="360" t="s">
        <v>375</v>
      </c>
      <c r="G61" s="360"/>
      <c r="H61" s="360"/>
      <c r="I61" s="360"/>
      <c r="J61" s="361" t="s">
        <v>376</v>
      </c>
      <c r="K61" s="362"/>
      <c r="L61" s="250" t="s">
        <v>377</v>
      </c>
      <c r="M61" s="361" t="s">
        <v>378</v>
      </c>
      <c r="N61" s="362"/>
      <c r="O61" s="212" t="s">
        <v>292</v>
      </c>
      <c r="P61" s="361" t="s">
        <v>293</v>
      </c>
      <c r="Q61" s="383"/>
    </row>
    <row r="62" spans="2:17">
      <c r="B62" s="306"/>
      <c r="C62" s="365"/>
      <c r="D62" s="365"/>
      <c r="E62" s="366"/>
      <c r="F62" s="355">
        <f>SUM('GA-55'!X10:X16)</f>
        <v>0</v>
      </c>
      <c r="G62" s="355"/>
      <c r="H62" s="355"/>
      <c r="I62" s="355"/>
      <c r="J62" s="355">
        <f>SUM('GA-55'!X17:X19)</f>
        <v>0</v>
      </c>
      <c r="K62" s="355"/>
      <c r="L62" s="48">
        <f>'GA-55'!X20</f>
        <v>0</v>
      </c>
      <c r="M62" s="355">
        <f>'GA-55'!X21</f>
        <v>0</v>
      </c>
      <c r="N62" s="355"/>
      <c r="O62" s="49">
        <f>SUM('GA-55'!X22:X30)+'Other Deduction'!E18</f>
        <v>0</v>
      </c>
      <c r="P62" s="356">
        <f>F62+J62+L62+M62+O62</f>
        <v>0</v>
      </c>
      <c r="Q62" s="357"/>
    </row>
    <row r="63" spans="2:17" ht="16.5" thickBot="1">
      <c r="B63" s="358" t="str">
        <f>IF(Q60&gt;P62,"Income Tax Payable",IF(Q60&lt;P62,"Income Tax Refundable","Income Tax Payble/Refundable"))</f>
        <v>Income Tax Payable</v>
      </c>
      <c r="C63" s="359"/>
      <c r="D63" s="359"/>
      <c r="E63" s="359"/>
      <c r="F63" s="359"/>
      <c r="G63" s="359"/>
      <c r="H63" s="359"/>
      <c r="I63" s="359"/>
      <c r="J63" s="359"/>
      <c r="K63" s="359"/>
      <c r="L63" s="359"/>
      <c r="M63" s="359"/>
      <c r="N63" s="359"/>
      <c r="O63" s="359"/>
      <c r="P63" s="211" t="s">
        <v>228</v>
      </c>
      <c r="Q63" s="50">
        <f>IF(Q60&gt;P62,Q60-P62,P62-Q60)</f>
        <v>108054</v>
      </c>
    </row>
    <row r="64" spans="2:17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10"/>
      <c r="Q64" s="11"/>
    </row>
    <row r="65" spans="1:18" ht="15.75" customHeight="1">
      <c r="D65" s="285" t="s">
        <v>294</v>
      </c>
      <c r="E65" s="285"/>
      <c r="F65" s="213"/>
      <c r="M65" s="286" t="s">
        <v>295</v>
      </c>
      <c r="N65" s="286"/>
      <c r="O65" s="286"/>
      <c r="P65" s="286"/>
    </row>
    <row r="66" spans="1:18"/>
    <row r="67" spans="1:18" ht="15.75" hidden="1" customHeight="1">
      <c r="C67" s="382"/>
      <c r="D67" s="382"/>
      <c r="E67" s="382"/>
      <c r="F67" s="382"/>
      <c r="G67" s="382"/>
      <c r="H67" s="382"/>
      <c r="I67" s="382"/>
      <c r="J67" s="382"/>
      <c r="K67" s="382"/>
      <c r="L67" s="382"/>
      <c r="M67" s="382"/>
      <c r="N67" s="382"/>
      <c r="O67" s="382"/>
      <c r="P67" s="382"/>
      <c r="Q67" s="382"/>
    </row>
    <row r="68" spans="1:18" ht="15.75" hidden="1" customHeight="1">
      <c r="C68" s="382"/>
      <c r="D68" s="382"/>
      <c r="E68" s="382"/>
      <c r="F68" s="382"/>
      <c r="G68" s="382"/>
      <c r="H68" s="382"/>
      <c r="I68" s="382"/>
      <c r="J68" s="382"/>
      <c r="K68" s="382"/>
      <c r="L68" s="382"/>
      <c r="M68" s="382"/>
      <c r="N68" s="382"/>
      <c r="O68" s="382"/>
      <c r="P68" s="382"/>
      <c r="Q68" s="382"/>
    </row>
    <row r="69" spans="1:18" ht="24" hidden="1" customHeight="1">
      <c r="C69" s="382"/>
      <c r="D69" s="382"/>
      <c r="E69" s="382"/>
      <c r="F69" s="382"/>
      <c r="G69" s="382"/>
      <c r="H69" s="382"/>
      <c r="I69" s="382"/>
      <c r="J69" s="382"/>
      <c r="K69" s="382"/>
      <c r="L69" s="382"/>
      <c r="M69" s="382"/>
      <c r="N69" s="382"/>
      <c r="O69" s="382"/>
      <c r="P69" s="382"/>
      <c r="Q69" s="382"/>
    </row>
    <row r="70" spans="1:18" ht="15.75" hidden="1" customHeight="1">
      <c r="L70" s="367"/>
      <c r="M70" s="367"/>
      <c r="N70" s="367"/>
      <c r="O70" s="367"/>
      <c r="P70" s="367"/>
      <c r="Q70" s="367"/>
    </row>
    <row r="71" spans="1:18" ht="15.75" hidden="1" customHeight="1">
      <c r="L71" s="367"/>
      <c r="M71" s="367"/>
      <c r="N71" s="367"/>
      <c r="O71" s="367"/>
      <c r="P71" s="367"/>
      <c r="Q71" s="367"/>
    </row>
    <row r="72" spans="1:18" ht="15.75" hidden="1" customHeight="1">
      <c r="L72" s="367"/>
      <c r="M72" s="367"/>
      <c r="N72" s="367"/>
      <c r="O72" s="367"/>
      <c r="P72" s="367"/>
      <c r="Q72" s="367"/>
    </row>
    <row r="73" spans="1:18" ht="15.75" hidden="1" customHeight="1">
      <c r="L73" s="367"/>
      <c r="M73" s="367"/>
      <c r="N73" s="367"/>
      <c r="O73" s="367"/>
      <c r="P73" s="367"/>
      <c r="Q73" s="367"/>
    </row>
    <row r="74" spans="1:18" ht="15.75" hidden="1" customHeight="1">
      <c r="L74" s="367"/>
      <c r="M74" s="367"/>
      <c r="N74" s="367"/>
      <c r="O74" s="367"/>
      <c r="P74" s="367"/>
      <c r="Q74" s="367"/>
    </row>
    <row r="75" spans="1:18" hidden="1">
      <c r="D75" s="319"/>
      <c r="E75" s="319"/>
      <c r="F75" s="319"/>
      <c r="G75" s="319"/>
      <c r="H75" s="319"/>
      <c r="I75" s="319"/>
      <c r="J75" s="319"/>
      <c r="L75" s="367"/>
      <c r="M75" s="367"/>
      <c r="N75" s="367"/>
      <c r="O75" s="367"/>
      <c r="P75" s="367"/>
      <c r="Q75" s="367"/>
    </row>
    <row r="76" spans="1:18" hidden="1">
      <c r="L76" s="367"/>
      <c r="M76" s="367"/>
      <c r="N76" s="367"/>
      <c r="O76" s="367"/>
      <c r="P76" s="367"/>
      <c r="Q76" s="367"/>
    </row>
    <row r="77" spans="1:18" hidden="1">
      <c r="A77" s="14"/>
      <c r="B77" s="15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7"/>
      <c r="Q77" s="18"/>
      <c r="R77" s="14"/>
    </row>
    <row r="78" spans="1:18" hidden="1">
      <c r="A78" s="14"/>
      <c r="B78" s="15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7"/>
      <c r="Q78" s="18"/>
      <c r="R78" s="14"/>
    </row>
    <row r="79" spans="1:18" hidden="1">
      <c r="A79" s="14"/>
      <c r="B79" s="15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7"/>
      <c r="Q79" s="18"/>
      <c r="R79" s="14"/>
    </row>
  </sheetData>
  <sheetProtection password="9090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2">
    <mergeCell ref="K21:M21"/>
    <mergeCell ref="K22:M2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D29:G29"/>
    <mergeCell ref="C33:O33"/>
    <mergeCell ref="C31:O31"/>
    <mergeCell ref="C32:O32"/>
    <mergeCell ref="B34:B44"/>
    <mergeCell ref="C34:Q34"/>
    <mergeCell ref="C35:O35"/>
    <mergeCell ref="C36:O36"/>
    <mergeCell ref="C37:O37"/>
    <mergeCell ref="C38:O38"/>
    <mergeCell ref="C39:O39"/>
    <mergeCell ref="C40:O40"/>
    <mergeCell ref="C44:O44"/>
    <mergeCell ref="C41:O41"/>
    <mergeCell ref="C42:O42"/>
    <mergeCell ref="C43:O43"/>
    <mergeCell ref="B1:Q1"/>
    <mergeCell ref="B2:Q2"/>
    <mergeCell ref="C3:D3"/>
    <mergeCell ref="P3:Q3"/>
    <mergeCell ref="C4:O4"/>
    <mergeCell ref="C5:O5"/>
    <mergeCell ref="C7:O7"/>
    <mergeCell ref="C11:O11"/>
    <mergeCell ref="C8:L8"/>
    <mergeCell ref="M8:O8"/>
    <mergeCell ref="C10:L10"/>
    <mergeCell ref="M10:O10"/>
    <mergeCell ref="E3:J3"/>
    <mergeCell ref="L3:N3"/>
    <mergeCell ref="B8:B10"/>
    <mergeCell ref="M9:O9"/>
    <mergeCell ref="C9:L9"/>
    <mergeCell ref="P8:Q9"/>
    <mergeCell ref="C6:O6"/>
    <mergeCell ref="D75:J75"/>
    <mergeCell ref="M12:O12"/>
    <mergeCell ref="P12:Q14"/>
    <mergeCell ref="H13:J13"/>
    <mergeCell ref="K13:L13"/>
    <mergeCell ref="C15:O15"/>
    <mergeCell ref="C16:O16"/>
    <mergeCell ref="C17:O17"/>
    <mergeCell ref="C18:O18"/>
    <mergeCell ref="D27:G27"/>
    <mergeCell ref="M13:O13"/>
    <mergeCell ref="H14:J14"/>
    <mergeCell ref="K14:L14"/>
    <mergeCell ref="M14:O14"/>
    <mergeCell ref="D28:G28"/>
    <mergeCell ref="K28:M28"/>
    <mergeCell ref="C45:O45"/>
    <mergeCell ref="F51:G51"/>
    <mergeCell ref="C19:Q19"/>
    <mergeCell ref="C20:Q20"/>
    <mergeCell ref="D21:G21"/>
    <mergeCell ref="D22:G22"/>
    <mergeCell ref="C30:M30"/>
    <mergeCell ref="K29:M29"/>
    <mergeCell ref="D65:E65"/>
    <mergeCell ref="M65:P65"/>
    <mergeCell ref="K25:M25"/>
    <mergeCell ref="K27:M27"/>
    <mergeCell ref="B12:B14"/>
    <mergeCell ref="C12:J12"/>
    <mergeCell ref="K12:L12"/>
    <mergeCell ref="E14:G14"/>
    <mergeCell ref="E13:G13"/>
    <mergeCell ref="C13:D14"/>
    <mergeCell ref="B19:B33"/>
    <mergeCell ref="P21:Q30"/>
    <mergeCell ref="D23:G23"/>
    <mergeCell ref="K23:M23"/>
    <mergeCell ref="D24:G24"/>
    <mergeCell ref="K24:M24"/>
    <mergeCell ref="D25:G25"/>
    <mergeCell ref="D26:G26"/>
    <mergeCell ref="K26:M26"/>
    <mergeCell ref="C46:O46"/>
    <mergeCell ref="C47:O47"/>
    <mergeCell ref="F50:G50"/>
    <mergeCell ref="H50:J50"/>
    <mergeCell ref="L50:N50"/>
  </mergeCells>
  <printOptions horizontalCentered="1"/>
  <pageMargins left="0.39370078740157499" right="0.23622047244094499" top="0.23622047244094499" bottom="0.27559055118110198" header="0.196850393700787" footer="0.23622047244094499"/>
  <pageSetup paperSize="9" scale="79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FFFF00"/>
  </sheetPr>
  <dimension ref="A1:AA87"/>
  <sheetViews>
    <sheetView showGridLines="0" topLeftCell="A34" workbookViewId="0">
      <selection activeCell="S34" sqref="S1:XFD1048576"/>
    </sheetView>
  </sheetViews>
  <sheetFormatPr defaultColWidth="0" defaultRowHeight="0" customHeight="1" zeroHeight="1"/>
  <cols>
    <col min="1" max="1" width="3" customWidth="1" collapsed="1"/>
    <col min="2" max="2" width="4.42578125" style="4" customWidth="1" collapsed="1"/>
    <col min="3" max="3" width="4.5703125" style="5" customWidth="1" collapsed="1"/>
    <col min="4" max="5" width="9.140625" style="5" customWidth="1" collapsed="1"/>
    <col min="6" max="6" width="3.85546875" style="5" customWidth="1" collapsed="1"/>
    <col min="7" max="7" width="5.140625" style="5" customWidth="1" collapsed="1"/>
    <col min="8" max="8" width="3.28515625" style="5" customWidth="1" collapsed="1"/>
    <col min="9" max="9" width="10.5703125" style="5" customWidth="1" collapsed="1"/>
    <col min="10" max="10" width="5.140625" style="5" customWidth="1" collapsed="1"/>
    <col min="11" max="11" width="10.28515625" style="5" customWidth="1" collapsed="1"/>
    <col min="12" max="12" width="11.42578125" style="5" customWidth="1" collapsed="1"/>
    <col min="13" max="13" width="9.42578125" style="5" customWidth="1" collapsed="1"/>
    <col min="14" max="14" width="3.85546875" style="5" customWidth="1" collapsed="1"/>
    <col min="15" max="15" width="11.85546875" style="5" customWidth="1" collapsed="1"/>
    <col min="16" max="16" width="3.5703125" style="6" customWidth="1" collapsed="1"/>
    <col min="17" max="17" width="24.28515625" style="7" customWidth="1" collapsed="1"/>
    <col min="18" max="18" width="2.42578125" customWidth="1" collapsed="1"/>
    <col min="19" max="19" width="11.42578125" hidden="1" collapsed="1"/>
    <col min="20" max="20" width="9.140625" hidden="1" collapsed="1"/>
    <col min="21" max="27" width="9.140625" hidden="1"/>
    <col min="28" max="16384" width="9.140625" hidden="1" collapsed="1"/>
  </cols>
  <sheetData>
    <row r="1" spans="2:17" s="8" customFormat="1" ht="18.75">
      <c r="B1" s="400" t="str">
        <f>'GA-55'!C4</f>
        <v>GOVT SR. SEC SCHOOL DILOD GORDHANPURA, ATRU BARAN</v>
      </c>
      <c r="C1" s="400"/>
      <c r="D1" s="400"/>
      <c r="E1" s="400"/>
      <c r="F1" s="400"/>
      <c r="G1" s="400"/>
      <c r="H1" s="400"/>
      <c r="I1" s="400"/>
      <c r="J1" s="400"/>
      <c r="K1" s="400"/>
      <c r="L1" s="400"/>
      <c r="M1" s="400"/>
      <c r="N1" s="400"/>
      <c r="O1" s="400"/>
      <c r="P1" s="400"/>
      <c r="Q1" s="400"/>
    </row>
    <row r="2" spans="2:17" s="8" customFormat="1" ht="16.5" thickBot="1">
      <c r="B2" s="339" t="s">
        <v>373</v>
      </c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</row>
    <row r="3" spans="2:17" s="8" customFormat="1" ht="15" customHeight="1">
      <c r="B3" s="35">
        <v>1</v>
      </c>
      <c r="C3" s="340" t="s">
        <v>297</v>
      </c>
      <c r="D3" s="341"/>
      <c r="E3" s="348" t="str">
        <f>'GA-55'!D6</f>
        <v>PARMANAND MEGHWAL</v>
      </c>
      <c r="F3" s="348"/>
      <c r="G3" s="348"/>
      <c r="H3" s="348"/>
      <c r="I3" s="348"/>
      <c r="J3" s="348"/>
      <c r="K3" s="214" t="s">
        <v>296</v>
      </c>
      <c r="L3" s="349" t="str">
        <f>'GA-55'!K6</f>
        <v>SR TEACHER</v>
      </c>
      <c r="M3" s="349"/>
      <c r="N3" s="349"/>
      <c r="O3" s="36" t="s">
        <v>19</v>
      </c>
      <c r="P3" s="342" t="str">
        <f>IF('GA-55'!P6="","",'GA-55'!P6)</f>
        <v>XXXXXXXXX</v>
      </c>
      <c r="Q3" s="343"/>
    </row>
    <row r="4" spans="2:17" s="8" customFormat="1" ht="15" customHeight="1">
      <c r="B4" s="37">
        <v>2</v>
      </c>
      <c r="C4" s="344" t="s">
        <v>374</v>
      </c>
      <c r="D4" s="344"/>
      <c r="E4" s="291"/>
      <c r="F4" s="291"/>
      <c r="G4" s="291"/>
      <c r="H4" s="291"/>
      <c r="I4" s="291"/>
      <c r="J4" s="291"/>
      <c r="K4" s="344"/>
      <c r="L4" s="291"/>
      <c r="M4" s="291"/>
      <c r="N4" s="291"/>
      <c r="O4" s="344"/>
      <c r="P4" s="211" t="s">
        <v>228</v>
      </c>
      <c r="Q4" s="38">
        <f>'GA-55'!N31</f>
        <v>1090772</v>
      </c>
    </row>
    <row r="5" spans="2:17" s="8" customFormat="1" ht="15" customHeight="1">
      <c r="B5" s="37">
        <v>3</v>
      </c>
      <c r="C5" s="291" t="s">
        <v>226</v>
      </c>
      <c r="D5" s="292"/>
      <c r="E5" s="292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11" t="s">
        <v>228</v>
      </c>
      <c r="Q5" s="39">
        <v>0</v>
      </c>
    </row>
    <row r="6" spans="2:17" s="8" customFormat="1" ht="15" customHeight="1">
      <c r="B6" s="37"/>
      <c r="C6" s="287" t="s">
        <v>227</v>
      </c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50"/>
      <c r="P6" s="211" t="s">
        <v>228</v>
      </c>
      <c r="Q6" s="39">
        <v>0</v>
      </c>
    </row>
    <row r="7" spans="2:17" s="8" customFormat="1" ht="15" customHeight="1">
      <c r="B7" s="37">
        <v>4</v>
      </c>
      <c r="C7" s="399" t="s">
        <v>344</v>
      </c>
      <c r="D7" s="399"/>
      <c r="E7" s="399"/>
      <c r="F7" s="399"/>
      <c r="G7" s="399"/>
      <c r="H7" s="399"/>
      <c r="I7" s="399"/>
      <c r="J7" s="399"/>
      <c r="K7" s="399"/>
      <c r="L7" s="399"/>
      <c r="M7" s="399"/>
      <c r="N7" s="399"/>
      <c r="O7" s="399"/>
      <c r="P7" s="211" t="s">
        <v>228</v>
      </c>
      <c r="Q7" s="39">
        <f>Q4-Q5-Q6</f>
        <v>1090772</v>
      </c>
    </row>
    <row r="8" spans="2:17" s="8" customFormat="1" ht="15" customHeight="1">
      <c r="B8" s="304">
        <v>5</v>
      </c>
      <c r="C8" s="346" t="s">
        <v>229</v>
      </c>
      <c r="D8" s="347"/>
      <c r="E8" s="347"/>
      <c r="F8" s="347"/>
      <c r="G8" s="347"/>
      <c r="H8" s="347"/>
      <c r="I8" s="347"/>
      <c r="J8" s="347"/>
      <c r="K8" s="347"/>
      <c r="L8" s="347"/>
      <c r="M8" s="320">
        <f>'Other Deduction'!B4</f>
        <v>0</v>
      </c>
      <c r="N8" s="320"/>
      <c r="O8" s="320"/>
      <c r="P8" s="307"/>
      <c r="Q8" s="308"/>
    </row>
    <row r="9" spans="2:17" s="8" customFormat="1" ht="15" customHeight="1">
      <c r="B9" s="305"/>
      <c r="C9" s="287" t="s">
        <v>230</v>
      </c>
      <c r="D9" s="347"/>
      <c r="E9" s="347"/>
      <c r="F9" s="347"/>
      <c r="G9" s="347"/>
      <c r="H9" s="347"/>
      <c r="I9" s="347"/>
      <c r="J9" s="347"/>
      <c r="K9" s="347"/>
      <c r="L9" s="347"/>
      <c r="M9" s="320">
        <f>'Other Deduction'!B5</f>
        <v>0</v>
      </c>
      <c r="N9" s="320"/>
      <c r="O9" s="320"/>
      <c r="P9" s="311"/>
      <c r="Q9" s="312"/>
    </row>
    <row r="10" spans="2:17" s="8" customFormat="1" ht="15" customHeight="1">
      <c r="B10" s="306"/>
      <c r="C10" s="287" t="s">
        <v>353</v>
      </c>
      <c r="D10" s="347"/>
      <c r="E10" s="347"/>
      <c r="F10" s="347"/>
      <c r="G10" s="347"/>
      <c r="H10" s="347"/>
      <c r="I10" s="347"/>
      <c r="J10" s="347"/>
      <c r="K10" s="347"/>
      <c r="L10" s="347"/>
      <c r="M10" s="320">
        <v>75000</v>
      </c>
      <c r="N10" s="320"/>
      <c r="O10" s="320"/>
      <c r="P10" s="211" t="s">
        <v>228</v>
      </c>
      <c r="Q10" s="39">
        <f>SUM(M8:O10)</f>
        <v>75000</v>
      </c>
    </row>
    <row r="11" spans="2:17" s="8" customFormat="1" ht="15" customHeight="1">
      <c r="B11" s="37">
        <v>6</v>
      </c>
      <c r="C11" s="396" t="s">
        <v>343</v>
      </c>
      <c r="D11" s="397"/>
      <c r="E11" s="397"/>
      <c r="F11" s="397"/>
      <c r="G11" s="397"/>
      <c r="H11" s="397"/>
      <c r="I11" s="397"/>
      <c r="J11" s="397"/>
      <c r="K11" s="397"/>
      <c r="L11" s="397"/>
      <c r="M11" s="397"/>
      <c r="N11" s="397"/>
      <c r="O11" s="398"/>
      <c r="P11" s="211" t="s">
        <v>228</v>
      </c>
      <c r="Q11" s="39">
        <f>Q7-Q10</f>
        <v>1015772</v>
      </c>
    </row>
    <row r="12" spans="2:17" s="8" customFormat="1" ht="15" customHeight="1">
      <c r="B12" s="290">
        <v>7</v>
      </c>
      <c r="C12" s="291" t="s">
        <v>234</v>
      </c>
      <c r="D12" s="292"/>
      <c r="E12" s="292"/>
      <c r="F12" s="292"/>
      <c r="G12" s="292"/>
      <c r="H12" s="292"/>
      <c r="I12" s="292"/>
      <c r="J12" s="292"/>
      <c r="K12" s="293" t="s">
        <v>235</v>
      </c>
      <c r="L12" s="293"/>
      <c r="M12" s="320">
        <f>'Other Deduction'!B6</f>
        <v>0</v>
      </c>
      <c r="N12" s="320"/>
      <c r="O12" s="320"/>
      <c r="P12" s="321"/>
      <c r="Q12" s="322"/>
    </row>
    <row r="13" spans="2:17" s="8" customFormat="1" ht="15" customHeight="1">
      <c r="B13" s="290"/>
      <c r="C13" s="300" t="s">
        <v>236</v>
      </c>
      <c r="D13" s="301"/>
      <c r="E13" s="297" t="s">
        <v>237</v>
      </c>
      <c r="F13" s="298"/>
      <c r="G13" s="299"/>
      <c r="H13" s="323" t="s">
        <v>238</v>
      </c>
      <c r="I13" s="323"/>
      <c r="J13" s="323"/>
      <c r="K13" s="321" t="s">
        <v>239</v>
      </c>
      <c r="L13" s="321"/>
      <c r="M13" s="293" t="s">
        <v>240</v>
      </c>
      <c r="N13" s="293"/>
      <c r="O13" s="293"/>
      <c r="P13" s="321"/>
      <c r="Q13" s="322"/>
    </row>
    <row r="14" spans="2:17" s="8" customFormat="1" ht="15" customHeight="1">
      <c r="B14" s="290"/>
      <c r="C14" s="302"/>
      <c r="D14" s="303"/>
      <c r="E14" s="294">
        <f>ROUND(M12*0.3,0)</f>
        <v>0</v>
      </c>
      <c r="F14" s="295"/>
      <c r="G14" s="296"/>
      <c r="H14" s="320">
        <v>0</v>
      </c>
      <c r="I14" s="320"/>
      <c r="J14" s="320"/>
      <c r="K14" s="320">
        <f>'Other Deduction'!B7</f>
        <v>0</v>
      </c>
      <c r="L14" s="320"/>
      <c r="M14" s="320">
        <f>E14+H14+K14</f>
        <v>0</v>
      </c>
      <c r="N14" s="320"/>
      <c r="O14" s="320"/>
      <c r="P14" s="321"/>
      <c r="Q14" s="322"/>
    </row>
    <row r="15" spans="2:17" s="8" customFormat="1" ht="15" customHeight="1">
      <c r="B15" s="37"/>
      <c r="C15" s="324" t="s">
        <v>242</v>
      </c>
      <c r="D15" s="325"/>
      <c r="E15" s="325"/>
      <c r="F15" s="325"/>
      <c r="G15" s="325"/>
      <c r="H15" s="325"/>
      <c r="I15" s="325"/>
      <c r="J15" s="325"/>
      <c r="K15" s="325"/>
      <c r="L15" s="325"/>
      <c r="M15" s="325"/>
      <c r="N15" s="325"/>
      <c r="O15" s="326"/>
      <c r="P15" s="211" t="s">
        <v>228</v>
      </c>
      <c r="Q15" s="39">
        <f>M12-M14</f>
        <v>0</v>
      </c>
    </row>
    <row r="16" spans="2:17" s="8" customFormat="1" ht="15" customHeight="1">
      <c r="B16" s="37">
        <v>8</v>
      </c>
      <c r="C16" s="324" t="s">
        <v>241</v>
      </c>
      <c r="D16" s="325"/>
      <c r="E16" s="325"/>
      <c r="F16" s="325"/>
      <c r="G16" s="325"/>
      <c r="H16" s="325"/>
      <c r="I16" s="325"/>
      <c r="J16" s="325"/>
      <c r="K16" s="325"/>
      <c r="L16" s="325"/>
      <c r="M16" s="325"/>
      <c r="N16" s="325"/>
      <c r="O16" s="326"/>
      <c r="P16" s="211" t="s">
        <v>228</v>
      </c>
      <c r="Q16" s="39">
        <f>Q11+Q15</f>
        <v>1015772</v>
      </c>
    </row>
    <row r="17" spans="2:17" s="8" customFormat="1" ht="15" customHeight="1">
      <c r="B17" s="37">
        <v>9</v>
      </c>
      <c r="C17" s="292" t="s">
        <v>243</v>
      </c>
      <c r="D17" s="292"/>
      <c r="E17" s="292"/>
      <c r="F17" s="292"/>
      <c r="G17" s="292"/>
      <c r="H17" s="292"/>
      <c r="I17" s="292"/>
      <c r="J17" s="292"/>
      <c r="K17" s="292"/>
      <c r="L17" s="292"/>
      <c r="M17" s="292"/>
      <c r="N17" s="292"/>
      <c r="O17" s="292"/>
      <c r="P17" s="211" t="s">
        <v>228</v>
      </c>
      <c r="Q17" s="39">
        <f>'Other Deduction'!E3+'Other Deduction'!E4</f>
        <v>0</v>
      </c>
    </row>
    <row r="18" spans="2:17" s="8" customFormat="1" ht="15" customHeight="1">
      <c r="B18" s="37">
        <v>10</v>
      </c>
      <c r="C18" s="327" t="s">
        <v>244</v>
      </c>
      <c r="D18" s="328"/>
      <c r="E18" s="328"/>
      <c r="F18" s="328"/>
      <c r="G18" s="328"/>
      <c r="H18" s="328"/>
      <c r="I18" s="328"/>
      <c r="J18" s="328"/>
      <c r="K18" s="328"/>
      <c r="L18" s="328"/>
      <c r="M18" s="328"/>
      <c r="N18" s="328"/>
      <c r="O18" s="329"/>
      <c r="P18" s="211" t="s">
        <v>228</v>
      </c>
      <c r="Q18" s="38">
        <f>Q16+Q17</f>
        <v>1015772</v>
      </c>
    </row>
    <row r="19" spans="2:17" s="8" customFormat="1" ht="15" customHeight="1">
      <c r="B19" s="304">
        <v>11</v>
      </c>
      <c r="C19" s="318" t="s">
        <v>338</v>
      </c>
      <c r="D19" s="318"/>
      <c r="E19" s="318"/>
      <c r="F19" s="318"/>
      <c r="G19" s="318"/>
      <c r="H19" s="318"/>
      <c r="I19" s="318"/>
      <c r="J19" s="318"/>
      <c r="K19" s="318"/>
      <c r="L19" s="318"/>
      <c r="M19" s="318"/>
      <c r="N19" s="318"/>
      <c r="O19" s="318"/>
      <c r="P19" s="318"/>
      <c r="Q19" s="331"/>
    </row>
    <row r="20" spans="2:17" s="8" customFormat="1" ht="15" customHeight="1">
      <c r="B20" s="305"/>
      <c r="C20" s="332" t="s">
        <v>245</v>
      </c>
      <c r="D20" s="394"/>
      <c r="E20" s="394"/>
      <c r="F20" s="394"/>
      <c r="G20" s="394"/>
      <c r="H20" s="394"/>
      <c r="I20" s="394"/>
      <c r="J20" s="394"/>
      <c r="K20" s="394"/>
      <c r="L20" s="394"/>
      <c r="M20" s="394"/>
      <c r="N20" s="394"/>
      <c r="O20" s="394"/>
      <c r="P20" s="394"/>
      <c r="Q20" s="395"/>
    </row>
    <row r="21" spans="2:17" s="8" customFormat="1" ht="15" customHeight="1">
      <c r="B21" s="305"/>
      <c r="C21" s="40" t="s">
        <v>20</v>
      </c>
      <c r="D21" s="291" t="s">
        <v>246</v>
      </c>
      <c r="E21" s="291"/>
      <c r="F21" s="291"/>
      <c r="G21" s="291"/>
      <c r="H21" s="211" t="s">
        <v>228</v>
      </c>
      <c r="I21" s="41">
        <v>0</v>
      </c>
      <c r="J21" s="40" t="s">
        <v>21</v>
      </c>
      <c r="K21" s="287" t="s">
        <v>255</v>
      </c>
      <c r="L21" s="288"/>
      <c r="M21" s="289"/>
      <c r="N21" s="211" t="s">
        <v>228</v>
      </c>
      <c r="O21" s="41">
        <f>'Other Deduction'!E6</f>
        <v>0</v>
      </c>
      <c r="P21" s="307"/>
      <c r="Q21" s="308"/>
    </row>
    <row r="22" spans="2:17" s="8" customFormat="1" ht="15" customHeight="1">
      <c r="B22" s="305"/>
      <c r="C22" s="40" t="s">
        <v>22</v>
      </c>
      <c r="D22" s="291" t="s">
        <v>247</v>
      </c>
      <c r="E22" s="291"/>
      <c r="F22" s="291"/>
      <c r="G22" s="291"/>
      <c r="H22" s="211" t="s">
        <v>228</v>
      </c>
      <c r="I22" s="41">
        <f>'GA-55'!T31+'Other Deduction'!B10</f>
        <v>0</v>
      </c>
      <c r="J22" s="40" t="s">
        <v>23</v>
      </c>
      <c r="K22" s="287" t="s">
        <v>256</v>
      </c>
      <c r="L22" s="288"/>
      <c r="M22" s="289"/>
      <c r="N22" s="211" t="s">
        <v>228</v>
      </c>
      <c r="O22" s="42">
        <f>'Other Deduction'!B15</f>
        <v>0</v>
      </c>
      <c r="P22" s="309"/>
      <c r="Q22" s="310"/>
    </row>
    <row r="23" spans="2:17" s="8" customFormat="1" ht="15" customHeight="1">
      <c r="B23" s="305"/>
      <c r="C23" s="40" t="s">
        <v>24</v>
      </c>
      <c r="D23" s="291" t="s">
        <v>248</v>
      </c>
      <c r="E23" s="291"/>
      <c r="F23" s="291"/>
      <c r="G23" s="291"/>
      <c r="H23" s="211" t="s">
        <v>228</v>
      </c>
      <c r="I23" s="41">
        <f>'Other Deduction'!B14</f>
        <v>0</v>
      </c>
      <c r="J23" s="40" t="s">
        <v>25</v>
      </c>
      <c r="K23" s="287" t="s">
        <v>257</v>
      </c>
      <c r="L23" s="288"/>
      <c r="M23" s="289"/>
      <c r="N23" s="211" t="s">
        <v>228</v>
      </c>
      <c r="O23" s="42">
        <f>'Other Deduction'!B12</f>
        <v>0</v>
      </c>
      <c r="P23" s="309"/>
      <c r="Q23" s="310"/>
    </row>
    <row r="24" spans="2:17" s="8" customFormat="1" ht="15" customHeight="1">
      <c r="B24" s="305"/>
      <c r="C24" s="40" t="s">
        <v>26</v>
      </c>
      <c r="D24" s="291" t="s">
        <v>249</v>
      </c>
      <c r="E24" s="291"/>
      <c r="F24" s="291"/>
      <c r="G24" s="291"/>
      <c r="H24" s="211" t="s">
        <v>228</v>
      </c>
      <c r="I24" s="41">
        <f>'Other Deduction'!B16</f>
        <v>0</v>
      </c>
      <c r="J24" s="40" t="s">
        <v>27</v>
      </c>
      <c r="K24" s="287" t="s">
        <v>331</v>
      </c>
      <c r="L24" s="288"/>
      <c r="M24" s="289"/>
      <c r="N24" s="211" t="s">
        <v>228</v>
      </c>
      <c r="O24" s="41">
        <f>'Other Deduction'!E15</f>
        <v>0</v>
      </c>
      <c r="P24" s="309"/>
      <c r="Q24" s="310"/>
    </row>
    <row r="25" spans="2:17" s="8" customFormat="1" ht="15" customHeight="1">
      <c r="B25" s="305"/>
      <c r="C25" s="40" t="s">
        <v>28</v>
      </c>
      <c r="D25" s="291" t="s">
        <v>250</v>
      </c>
      <c r="E25" s="291"/>
      <c r="F25" s="291"/>
      <c r="G25" s="291"/>
      <c r="H25" s="211" t="s">
        <v>228</v>
      </c>
      <c r="I25" s="41">
        <f>'Other Deduction'!B17</f>
        <v>0</v>
      </c>
      <c r="J25" s="40" t="s">
        <v>31</v>
      </c>
      <c r="K25" s="287" t="s">
        <v>314</v>
      </c>
      <c r="L25" s="288"/>
      <c r="M25" s="289"/>
      <c r="N25" s="211" t="s">
        <v>228</v>
      </c>
      <c r="O25" s="41">
        <f>'Other Deduction'!E16</f>
        <v>0</v>
      </c>
      <c r="P25" s="309"/>
      <c r="Q25" s="310"/>
    </row>
    <row r="26" spans="2:17" s="8" customFormat="1" ht="30.75" customHeight="1">
      <c r="B26" s="305"/>
      <c r="C26" s="40" t="s">
        <v>30</v>
      </c>
      <c r="D26" s="313" t="s">
        <v>251</v>
      </c>
      <c r="E26" s="314"/>
      <c r="F26" s="314"/>
      <c r="G26" s="315"/>
      <c r="H26" s="211" t="s">
        <v>228</v>
      </c>
      <c r="I26" s="41">
        <v>0</v>
      </c>
      <c r="J26" s="40" t="s">
        <v>29</v>
      </c>
      <c r="K26" s="287" t="s">
        <v>315</v>
      </c>
      <c r="L26" s="316"/>
      <c r="M26" s="317"/>
      <c r="N26" s="211" t="s">
        <v>228</v>
      </c>
      <c r="O26" s="41">
        <f>'Other Deduction'!B11</f>
        <v>0</v>
      </c>
      <c r="P26" s="309"/>
      <c r="Q26" s="310"/>
    </row>
    <row r="27" spans="2:17" s="8" customFormat="1" ht="15" customHeight="1">
      <c r="B27" s="305"/>
      <c r="C27" s="40" t="s">
        <v>32</v>
      </c>
      <c r="D27" s="287" t="s">
        <v>252</v>
      </c>
      <c r="E27" s="288"/>
      <c r="F27" s="288"/>
      <c r="G27" s="289"/>
      <c r="H27" s="211" t="s">
        <v>228</v>
      </c>
      <c r="I27" s="42">
        <v>0</v>
      </c>
      <c r="J27" s="40" t="s">
        <v>33</v>
      </c>
      <c r="K27" s="287" t="s">
        <v>316</v>
      </c>
      <c r="L27" s="288"/>
      <c r="M27" s="289"/>
      <c r="N27" s="211" t="s">
        <v>228</v>
      </c>
      <c r="O27" s="41">
        <f>'Other Deduction'!E5</f>
        <v>0</v>
      </c>
      <c r="P27" s="309"/>
      <c r="Q27" s="310"/>
    </row>
    <row r="28" spans="2:17" s="8" customFormat="1" ht="15" customHeight="1">
      <c r="B28" s="305"/>
      <c r="C28" s="40" t="s">
        <v>34</v>
      </c>
      <c r="D28" s="291" t="s">
        <v>253</v>
      </c>
      <c r="E28" s="291"/>
      <c r="F28" s="291"/>
      <c r="G28" s="291"/>
      <c r="H28" s="211" t="s">
        <v>228</v>
      </c>
      <c r="I28" s="42">
        <f>'Other Deduction'!B13</f>
        <v>0</v>
      </c>
      <c r="J28" s="40" t="s">
        <v>35</v>
      </c>
      <c r="K28" s="287" t="s">
        <v>317</v>
      </c>
      <c r="L28" s="288"/>
      <c r="M28" s="289"/>
      <c r="N28" s="211" t="s">
        <v>228</v>
      </c>
      <c r="O28" s="41">
        <f>'Other Deduction'!B18</f>
        <v>0</v>
      </c>
      <c r="P28" s="309"/>
      <c r="Q28" s="310"/>
    </row>
    <row r="29" spans="2:17" s="8" customFormat="1" ht="15" customHeight="1">
      <c r="B29" s="305"/>
      <c r="C29" s="40" t="s">
        <v>36</v>
      </c>
      <c r="D29" s="291" t="s">
        <v>254</v>
      </c>
      <c r="E29" s="291"/>
      <c r="F29" s="291"/>
      <c r="G29" s="291"/>
      <c r="H29" s="211" t="s">
        <v>228</v>
      </c>
      <c r="I29" s="41">
        <f>'GA-55'!V31+'Other Deduction'!B8</f>
        <v>0</v>
      </c>
      <c r="J29" s="40" t="s">
        <v>65</v>
      </c>
      <c r="K29" s="337"/>
      <c r="L29" s="337"/>
      <c r="M29" s="337"/>
      <c r="N29" s="211" t="s">
        <v>228</v>
      </c>
      <c r="O29" s="41"/>
      <c r="P29" s="309"/>
      <c r="Q29" s="310"/>
    </row>
    <row r="30" spans="2:17" s="8" customFormat="1" ht="15" customHeight="1">
      <c r="B30" s="305"/>
      <c r="C30" s="334" t="s">
        <v>258</v>
      </c>
      <c r="D30" s="335"/>
      <c r="E30" s="335"/>
      <c r="F30" s="335"/>
      <c r="G30" s="335"/>
      <c r="H30" s="335"/>
      <c r="I30" s="335"/>
      <c r="J30" s="335"/>
      <c r="K30" s="335"/>
      <c r="L30" s="335"/>
      <c r="M30" s="336"/>
      <c r="N30" s="211" t="s">
        <v>228</v>
      </c>
      <c r="O30" s="43">
        <f>SUM(I21:I29)+SUM(O21:O29)</f>
        <v>0</v>
      </c>
      <c r="P30" s="311"/>
      <c r="Q30" s="312"/>
    </row>
    <row r="31" spans="2:17" s="8" customFormat="1" ht="15" customHeight="1">
      <c r="B31" s="305"/>
      <c r="C31" s="345" t="s">
        <v>260</v>
      </c>
      <c r="D31" s="345"/>
      <c r="E31" s="345"/>
      <c r="F31" s="345"/>
      <c r="G31" s="345"/>
      <c r="H31" s="345"/>
      <c r="I31" s="345"/>
      <c r="J31" s="345"/>
      <c r="K31" s="345"/>
      <c r="L31" s="345"/>
      <c r="M31" s="345"/>
      <c r="N31" s="345"/>
      <c r="O31" s="345"/>
      <c r="P31" s="211" t="s">
        <v>228</v>
      </c>
      <c r="Q31" s="38">
        <v>0</v>
      </c>
    </row>
    <row r="32" spans="2:17" s="8" customFormat="1" ht="15" customHeight="1">
      <c r="B32" s="305"/>
      <c r="C32" s="287" t="s">
        <v>369</v>
      </c>
      <c r="D32" s="347"/>
      <c r="E32" s="347"/>
      <c r="F32" s="347"/>
      <c r="G32" s="347"/>
      <c r="H32" s="347"/>
      <c r="I32" s="347"/>
      <c r="J32" s="347"/>
      <c r="K32" s="347"/>
      <c r="L32" s="347"/>
      <c r="M32" s="347"/>
      <c r="N32" s="347"/>
      <c r="O32" s="350"/>
      <c r="P32" s="211" t="s">
        <v>228</v>
      </c>
      <c r="Q32" s="249">
        <v>0</v>
      </c>
    </row>
    <row r="33" spans="2:22" s="8" customFormat="1" ht="15" customHeight="1">
      <c r="B33" s="306"/>
      <c r="C33" s="345" t="s">
        <v>339</v>
      </c>
      <c r="D33" s="345"/>
      <c r="E33" s="345"/>
      <c r="F33" s="345"/>
      <c r="G33" s="345"/>
      <c r="H33" s="345"/>
      <c r="I33" s="345"/>
      <c r="J33" s="345"/>
      <c r="K33" s="345"/>
      <c r="L33" s="345"/>
      <c r="M33" s="345"/>
      <c r="N33" s="345"/>
      <c r="O33" s="345"/>
      <c r="P33" s="211" t="s">
        <v>228</v>
      </c>
      <c r="Q33" s="38">
        <f>SUM(Q31:Q31)</f>
        <v>0</v>
      </c>
    </row>
    <row r="34" spans="2:22" s="8" customFormat="1" ht="15" customHeight="1">
      <c r="B34" s="304">
        <v>12</v>
      </c>
      <c r="C34" s="318" t="s">
        <v>262</v>
      </c>
      <c r="D34" s="318"/>
      <c r="E34" s="318"/>
      <c r="F34" s="318"/>
      <c r="G34" s="318"/>
      <c r="H34" s="318"/>
      <c r="I34" s="318"/>
      <c r="J34" s="318"/>
      <c r="K34" s="318"/>
      <c r="L34" s="318"/>
      <c r="M34" s="318"/>
      <c r="N34" s="318"/>
      <c r="O34" s="318"/>
      <c r="P34" s="318"/>
      <c r="Q34" s="331"/>
    </row>
    <row r="35" spans="2:22" s="8" customFormat="1" ht="15" customHeight="1">
      <c r="B35" s="305"/>
      <c r="C35" s="351" t="s">
        <v>263</v>
      </c>
      <c r="D35" s="352"/>
      <c r="E35" s="352"/>
      <c r="F35" s="352"/>
      <c r="G35" s="352"/>
      <c r="H35" s="352"/>
      <c r="I35" s="352"/>
      <c r="J35" s="352"/>
      <c r="K35" s="352"/>
      <c r="L35" s="352"/>
      <c r="M35" s="352"/>
      <c r="N35" s="352"/>
      <c r="O35" s="353"/>
      <c r="P35" s="211" t="s">
        <v>228</v>
      </c>
      <c r="Q35" s="39">
        <v>0</v>
      </c>
    </row>
    <row r="36" spans="2:22" s="8" customFormat="1" ht="15" customHeight="1">
      <c r="B36" s="305"/>
      <c r="C36" s="354" t="s">
        <v>265</v>
      </c>
      <c r="D36" s="354"/>
      <c r="E36" s="354"/>
      <c r="F36" s="354"/>
      <c r="G36" s="354"/>
      <c r="H36" s="354"/>
      <c r="I36" s="354"/>
      <c r="J36" s="354"/>
      <c r="K36" s="354"/>
      <c r="L36" s="354"/>
      <c r="M36" s="354"/>
      <c r="N36" s="354"/>
      <c r="O36" s="354"/>
      <c r="P36" s="211" t="s">
        <v>228</v>
      </c>
      <c r="Q36" s="39">
        <v>0</v>
      </c>
    </row>
    <row r="37" spans="2:22" s="8" customFormat="1" ht="15" customHeight="1">
      <c r="B37" s="305"/>
      <c r="C37" s="354" t="s">
        <v>264</v>
      </c>
      <c r="D37" s="354"/>
      <c r="E37" s="354"/>
      <c r="F37" s="354"/>
      <c r="G37" s="354"/>
      <c r="H37" s="354"/>
      <c r="I37" s="354"/>
      <c r="J37" s="354"/>
      <c r="K37" s="354"/>
      <c r="L37" s="354"/>
      <c r="M37" s="354"/>
      <c r="N37" s="354"/>
      <c r="O37" s="354"/>
      <c r="P37" s="211" t="s">
        <v>228</v>
      </c>
      <c r="Q37" s="39">
        <v>0</v>
      </c>
    </row>
    <row r="38" spans="2:22" s="8" customFormat="1" ht="15" customHeight="1">
      <c r="B38" s="305"/>
      <c r="C38" s="291" t="s">
        <v>266</v>
      </c>
      <c r="D38" s="291"/>
      <c r="E38" s="291"/>
      <c r="F38" s="291"/>
      <c r="G38" s="291"/>
      <c r="H38" s="291"/>
      <c r="I38" s="291"/>
      <c r="J38" s="291"/>
      <c r="K38" s="291"/>
      <c r="L38" s="291"/>
      <c r="M38" s="291"/>
      <c r="N38" s="291"/>
      <c r="O38" s="291"/>
      <c r="P38" s="211" t="s">
        <v>228</v>
      </c>
      <c r="Q38" s="39">
        <v>0</v>
      </c>
    </row>
    <row r="39" spans="2:22" s="8" customFormat="1" ht="15" customHeight="1">
      <c r="B39" s="305"/>
      <c r="C39" s="354" t="s">
        <v>267</v>
      </c>
      <c r="D39" s="354"/>
      <c r="E39" s="354"/>
      <c r="F39" s="354"/>
      <c r="G39" s="354"/>
      <c r="H39" s="354"/>
      <c r="I39" s="354"/>
      <c r="J39" s="354"/>
      <c r="K39" s="354"/>
      <c r="L39" s="354"/>
      <c r="M39" s="354"/>
      <c r="N39" s="354"/>
      <c r="O39" s="354"/>
      <c r="P39" s="211" t="s">
        <v>228</v>
      </c>
      <c r="Q39" s="39">
        <v>0</v>
      </c>
    </row>
    <row r="40" spans="2:22" s="8" customFormat="1" ht="15" customHeight="1">
      <c r="B40" s="305"/>
      <c r="C40" s="351" t="s">
        <v>268</v>
      </c>
      <c r="D40" s="352"/>
      <c r="E40" s="352"/>
      <c r="F40" s="352"/>
      <c r="G40" s="352"/>
      <c r="H40" s="352"/>
      <c r="I40" s="352"/>
      <c r="J40" s="352"/>
      <c r="K40" s="352"/>
      <c r="L40" s="352"/>
      <c r="M40" s="352"/>
      <c r="N40" s="352"/>
      <c r="O40" s="353"/>
      <c r="P40" s="211" t="s">
        <v>228</v>
      </c>
      <c r="Q40" s="39">
        <v>0</v>
      </c>
    </row>
    <row r="41" spans="2:22" s="8" customFormat="1" ht="15" customHeight="1">
      <c r="B41" s="305"/>
      <c r="C41" s="351" t="s">
        <v>269</v>
      </c>
      <c r="D41" s="352"/>
      <c r="E41" s="352"/>
      <c r="F41" s="352"/>
      <c r="G41" s="352"/>
      <c r="H41" s="352"/>
      <c r="I41" s="352"/>
      <c r="J41" s="352"/>
      <c r="K41" s="352"/>
      <c r="L41" s="352"/>
      <c r="M41" s="352"/>
      <c r="N41" s="352"/>
      <c r="O41" s="353"/>
      <c r="P41" s="211" t="s">
        <v>228</v>
      </c>
      <c r="Q41" s="39">
        <v>0</v>
      </c>
    </row>
    <row r="42" spans="2:22" s="8" customFormat="1" ht="15" customHeight="1">
      <c r="B42" s="305"/>
      <c r="C42" s="351" t="s">
        <v>270</v>
      </c>
      <c r="D42" s="352"/>
      <c r="E42" s="352"/>
      <c r="F42" s="352"/>
      <c r="G42" s="352"/>
      <c r="H42" s="352"/>
      <c r="I42" s="352"/>
      <c r="J42" s="352"/>
      <c r="K42" s="352"/>
      <c r="L42" s="352"/>
      <c r="M42" s="352"/>
      <c r="N42" s="352"/>
      <c r="O42" s="353"/>
      <c r="P42" s="211" t="s">
        <v>228</v>
      </c>
      <c r="Q42" s="39">
        <v>0</v>
      </c>
    </row>
    <row r="43" spans="2:22" s="8" customFormat="1" ht="15" customHeight="1">
      <c r="B43" s="305"/>
      <c r="C43" s="351" t="s">
        <v>271</v>
      </c>
      <c r="D43" s="352"/>
      <c r="E43" s="352"/>
      <c r="F43" s="352"/>
      <c r="G43" s="352"/>
      <c r="H43" s="352"/>
      <c r="I43" s="352"/>
      <c r="J43" s="352"/>
      <c r="K43" s="352"/>
      <c r="L43" s="352"/>
      <c r="M43" s="352"/>
      <c r="N43" s="352"/>
      <c r="O43" s="353"/>
      <c r="P43" s="211" t="s">
        <v>228</v>
      </c>
      <c r="Q43" s="39">
        <v>0</v>
      </c>
    </row>
    <row r="44" spans="2:22" s="8" customFormat="1" ht="15" customHeight="1">
      <c r="B44" s="306"/>
      <c r="C44" s="345" t="s">
        <v>272</v>
      </c>
      <c r="D44" s="393"/>
      <c r="E44" s="393"/>
      <c r="F44" s="393"/>
      <c r="G44" s="393"/>
      <c r="H44" s="393"/>
      <c r="I44" s="393"/>
      <c r="J44" s="393"/>
      <c r="K44" s="393"/>
      <c r="L44" s="393"/>
      <c r="M44" s="393"/>
      <c r="N44" s="393"/>
      <c r="O44" s="393"/>
      <c r="P44" s="211" t="s">
        <v>228</v>
      </c>
      <c r="Q44" s="44">
        <v>0</v>
      </c>
    </row>
    <row r="45" spans="2:22" s="8" customFormat="1" ht="15" customHeight="1">
      <c r="B45" s="37">
        <v>13</v>
      </c>
      <c r="C45" s="318" t="s">
        <v>273</v>
      </c>
      <c r="D45" s="318"/>
      <c r="E45" s="318"/>
      <c r="F45" s="318"/>
      <c r="G45" s="318"/>
      <c r="H45" s="318"/>
      <c r="I45" s="318"/>
      <c r="J45" s="318"/>
      <c r="K45" s="318"/>
      <c r="L45" s="318"/>
      <c r="M45" s="318"/>
      <c r="N45" s="318"/>
      <c r="O45" s="318"/>
      <c r="P45" s="211" t="s">
        <v>228</v>
      </c>
      <c r="Q45" s="39">
        <f>Q33+Q44</f>
        <v>0</v>
      </c>
    </row>
    <row r="46" spans="2:22" s="8" customFormat="1" ht="15" customHeight="1">
      <c r="B46" s="37">
        <v>14</v>
      </c>
      <c r="C46" s="318" t="s">
        <v>274</v>
      </c>
      <c r="D46" s="318"/>
      <c r="E46" s="318"/>
      <c r="F46" s="318"/>
      <c r="G46" s="318"/>
      <c r="H46" s="318"/>
      <c r="I46" s="318"/>
      <c r="J46" s="318"/>
      <c r="K46" s="318"/>
      <c r="L46" s="318"/>
      <c r="M46" s="318"/>
      <c r="N46" s="318"/>
      <c r="O46" s="318"/>
      <c r="P46" s="211" t="s">
        <v>228</v>
      </c>
      <c r="Q46" s="39">
        <f>(Q18-Q45)</f>
        <v>1015772</v>
      </c>
      <c r="T46" s="247" t="s">
        <v>368</v>
      </c>
      <c r="U46" s="247" t="b">
        <v>0</v>
      </c>
      <c r="V46" s="248"/>
    </row>
    <row r="47" spans="2:22" s="8" customFormat="1" ht="15.75">
      <c r="B47" s="37">
        <v>15</v>
      </c>
      <c r="C47" s="318" t="s">
        <v>275</v>
      </c>
      <c r="D47" s="318"/>
      <c r="E47" s="318"/>
      <c r="F47" s="318"/>
      <c r="G47" s="318"/>
      <c r="H47" s="318"/>
      <c r="I47" s="318"/>
      <c r="J47" s="318"/>
      <c r="K47" s="318"/>
      <c r="L47" s="318"/>
      <c r="M47" s="318"/>
      <c r="N47" s="318"/>
      <c r="O47" s="318"/>
      <c r="P47" s="211" t="s">
        <v>228</v>
      </c>
      <c r="Q47" s="38">
        <f>ROUND(Q46,-1)</f>
        <v>1015770</v>
      </c>
      <c r="T47" s="248"/>
      <c r="U47" s="248"/>
      <c r="V47" s="248"/>
    </row>
    <row r="48" spans="2:22" s="8" customFormat="1" ht="15" customHeight="1">
      <c r="B48" s="304">
        <v>16</v>
      </c>
      <c r="C48" s="291" t="s">
        <v>276</v>
      </c>
      <c r="D48" s="291"/>
      <c r="E48" s="291"/>
      <c r="F48" s="291"/>
      <c r="G48" s="291"/>
      <c r="H48" s="291"/>
      <c r="I48" s="291"/>
      <c r="J48" s="291"/>
      <c r="K48" s="291"/>
      <c r="L48" s="291"/>
      <c r="M48" s="291"/>
      <c r="N48" s="291"/>
      <c r="O48" s="291"/>
      <c r="P48" s="291"/>
      <c r="Q48" s="374"/>
      <c r="T48" s="248"/>
      <c r="U48" s="248"/>
      <c r="V48" s="248"/>
    </row>
    <row r="49" spans="2:22" s="8" customFormat="1" ht="15" customHeight="1">
      <c r="B49" s="305"/>
      <c r="C49" s="375" t="s">
        <v>277</v>
      </c>
      <c r="D49" s="375"/>
      <c r="E49" s="375"/>
      <c r="F49" s="375"/>
      <c r="G49" s="375"/>
      <c r="H49" s="375" t="s">
        <v>278</v>
      </c>
      <c r="I49" s="375"/>
      <c r="J49" s="375"/>
      <c r="K49" s="375"/>
      <c r="L49" s="376" t="s">
        <v>279</v>
      </c>
      <c r="M49" s="377"/>
      <c r="N49" s="377"/>
      <c r="O49" s="378"/>
      <c r="P49" s="45"/>
      <c r="Q49" s="46"/>
      <c r="T49" s="248"/>
      <c r="U49" s="248"/>
      <c r="V49" s="248"/>
    </row>
    <row r="50" spans="2:22" s="8" customFormat="1" ht="15" customHeight="1">
      <c r="B50" s="305"/>
      <c r="C50" s="297" t="s">
        <v>359</v>
      </c>
      <c r="D50" s="298"/>
      <c r="E50" s="299"/>
      <c r="F50" s="392" t="s">
        <v>37</v>
      </c>
      <c r="G50" s="392"/>
      <c r="H50" s="297" t="s">
        <v>359</v>
      </c>
      <c r="I50" s="298"/>
      <c r="J50" s="299"/>
      <c r="K50" s="210" t="s">
        <v>37</v>
      </c>
      <c r="L50" s="297" t="s">
        <v>359</v>
      </c>
      <c r="M50" s="298"/>
      <c r="N50" s="299"/>
      <c r="O50" s="210" t="s">
        <v>37</v>
      </c>
      <c r="P50" s="211" t="s">
        <v>228</v>
      </c>
      <c r="Q50" s="47">
        <v>0</v>
      </c>
      <c r="T50" s="248"/>
      <c r="U50" s="248"/>
      <c r="V50" s="248"/>
    </row>
    <row r="51" spans="2:22" s="8" customFormat="1" ht="15" customHeight="1">
      <c r="B51" s="305"/>
      <c r="C51" s="388" t="s">
        <v>360</v>
      </c>
      <c r="D51" s="389"/>
      <c r="E51" s="390"/>
      <c r="F51" s="391">
        <v>0.05</v>
      </c>
      <c r="G51" s="392"/>
      <c r="H51" s="388" t="s">
        <v>360</v>
      </c>
      <c r="I51" s="389"/>
      <c r="J51" s="390"/>
      <c r="K51" s="209">
        <v>0.05</v>
      </c>
      <c r="L51" s="297" t="s">
        <v>361</v>
      </c>
      <c r="M51" s="298"/>
      <c r="N51" s="299"/>
      <c r="O51" s="209">
        <v>0.05</v>
      </c>
      <c r="P51" s="211" t="s">
        <v>228</v>
      </c>
      <c r="Q51" s="47">
        <f>IF(Q47&gt;400000,T51,U51)</f>
        <v>20000</v>
      </c>
      <c r="T51" s="248">
        <f>IF(AND(Q47&gt;1200000,Q47&lt;=1270588),0,IF(Q47&gt;800000,(800000-400000)*5/100,(Q47-400000)*5/100))</f>
        <v>20000</v>
      </c>
      <c r="U51" s="248">
        <v>0</v>
      </c>
      <c r="V51" s="248">
        <f>IF(Q47&gt;700000,(700000-300000)*5/100,(Q47-300000)*5/100)</f>
        <v>20000</v>
      </c>
    </row>
    <row r="52" spans="2:22" s="8" customFormat="1" ht="15" customHeight="1">
      <c r="B52" s="305"/>
      <c r="C52" s="388" t="s">
        <v>362</v>
      </c>
      <c r="D52" s="389"/>
      <c r="E52" s="390"/>
      <c r="F52" s="391">
        <v>0.1</v>
      </c>
      <c r="G52" s="392"/>
      <c r="H52" s="388" t="s">
        <v>362</v>
      </c>
      <c r="I52" s="389"/>
      <c r="J52" s="390"/>
      <c r="K52" s="209">
        <v>0.1</v>
      </c>
      <c r="L52" s="388" t="s">
        <v>362</v>
      </c>
      <c r="M52" s="389"/>
      <c r="N52" s="390"/>
      <c r="O52" s="209">
        <v>0.1</v>
      </c>
      <c r="P52" s="211" t="s">
        <v>228</v>
      </c>
      <c r="Q52" s="47">
        <f>IF(Q47&gt;800000,T52,U52)</f>
        <v>21577</v>
      </c>
      <c r="T52" s="248">
        <f>IF(AND(Q47&gt;1200000,Q47&lt;=1270588),0,IF(Q47&gt;1200000,(1200000-800000)*10/100,(Q47-800000)*10/100))</f>
        <v>21577</v>
      </c>
      <c r="U52" s="248">
        <v>0</v>
      </c>
      <c r="V52" s="248">
        <f>IF(Q47&gt;1000000,(1000000-700000)*10/100,(Q47-700000)*10/100)</f>
        <v>30000</v>
      </c>
    </row>
    <row r="53" spans="2:22" s="8" customFormat="1" ht="15" customHeight="1">
      <c r="B53" s="305"/>
      <c r="C53" s="388" t="s">
        <v>363</v>
      </c>
      <c r="D53" s="389"/>
      <c r="E53" s="390"/>
      <c r="F53" s="391">
        <v>0.15</v>
      </c>
      <c r="G53" s="392"/>
      <c r="H53" s="388" t="s">
        <v>363</v>
      </c>
      <c r="I53" s="389"/>
      <c r="J53" s="390"/>
      <c r="K53" s="209">
        <v>0.15</v>
      </c>
      <c r="L53" s="388" t="s">
        <v>363</v>
      </c>
      <c r="M53" s="389"/>
      <c r="N53" s="390"/>
      <c r="O53" s="209">
        <v>0.15</v>
      </c>
      <c r="P53" s="211" t="s">
        <v>228</v>
      </c>
      <c r="Q53" s="47">
        <f>IF(Q47&gt;1200000,T53,U53)</f>
        <v>0</v>
      </c>
      <c r="T53" s="248">
        <f>IF(AND(Q47&gt;1200000,Q47&lt;=1270588),Q47-1200000,IF(Q47&gt;1600000,(1600000-1200000)*15/100,(Q47-1200000)*15/100))</f>
        <v>-27634.5</v>
      </c>
      <c r="U53" s="248">
        <v>0</v>
      </c>
      <c r="V53" s="248">
        <v>0</v>
      </c>
    </row>
    <row r="54" spans="2:22" s="8" customFormat="1" ht="15" customHeight="1">
      <c r="B54" s="305"/>
      <c r="C54" s="388" t="s">
        <v>364</v>
      </c>
      <c r="D54" s="389"/>
      <c r="E54" s="390"/>
      <c r="F54" s="391">
        <v>0.2</v>
      </c>
      <c r="G54" s="392"/>
      <c r="H54" s="388" t="s">
        <v>364</v>
      </c>
      <c r="I54" s="389"/>
      <c r="J54" s="390"/>
      <c r="K54" s="209">
        <v>0.2</v>
      </c>
      <c r="L54" s="388" t="s">
        <v>364</v>
      </c>
      <c r="M54" s="389"/>
      <c r="N54" s="390"/>
      <c r="O54" s="209">
        <v>0.2</v>
      </c>
      <c r="P54" s="211" t="s">
        <v>228</v>
      </c>
      <c r="Q54" s="47">
        <f>IF(Q47&gt;1600000,T54,U54)</f>
        <v>0</v>
      </c>
      <c r="T54" s="248">
        <f>IF(Q47&gt;2000000,(2000000-1600000)*20/100,(Q47-1600000)*20/100)</f>
        <v>-116846</v>
      </c>
      <c r="U54" s="248">
        <v>0</v>
      </c>
      <c r="V54" s="248">
        <v>0</v>
      </c>
    </row>
    <row r="55" spans="2:22" s="8" customFormat="1" ht="15" customHeight="1">
      <c r="B55" s="305"/>
      <c r="C55" s="388" t="s">
        <v>365</v>
      </c>
      <c r="D55" s="389"/>
      <c r="E55" s="390"/>
      <c r="F55" s="391">
        <v>0.25</v>
      </c>
      <c r="G55" s="392"/>
      <c r="H55" s="388" t="s">
        <v>365</v>
      </c>
      <c r="I55" s="389"/>
      <c r="J55" s="390"/>
      <c r="K55" s="209">
        <v>0.25</v>
      </c>
      <c r="L55" s="388" t="s">
        <v>365</v>
      </c>
      <c r="M55" s="389"/>
      <c r="N55" s="390"/>
      <c r="O55" s="209">
        <v>0.25</v>
      </c>
      <c r="P55" s="211" t="s">
        <v>228</v>
      </c>
      <c r="Q55" s="47">
        <f>IF(Q47&gt;2000000,T55,U55)</f>
        <v>0</v>
      </c>
      <c r="T55" s="248">
        <f>IF(Q47&gt;2400000,(2400000-2000000)*25/100,(Q47-2000000)*25/100)</f>
        <v>-246057.5</v>
      </c>
      <c r="U55" s="248">
        <v>0</v>
      </c>
      <c r="V55" s="248">
        <v>0</v>
      </c>
    </row>
    <row r="56" spans="2:22" s="8" customFormat="1" ht="15" customHeight="1">
      <c r="B56" s="305"/>
      <c r="C56" s="388" t="s">
        <v>366</v>
      </c>
      <c r="D56" s="389"/>
      <c r="E56" s="390"/>
      <c r="F56" s="391">
        <v>0.3</v>
      </c>
      <c r="G56" s="392"/>
      <c r="H56" s="388" t="s">
        <v>366</v>
      </c>
      <c r="I56" s="389"/>
      <c r="J56" s="390"/>
      <c r="K56" s="209">
        <v>0.3</v>
      </c>
      <c r="L56" s="388" t="s">
        <v>366</v>
      </c>
      <c r="M56" s="389"/>
      <c r="N56" s="390"/>
      <c r="O56" s="209">
        <v>0.3</v>
      </c>
      <c r="P56" s="211" t="s">
        <v>228</v>
      </c>
      <c r="Q56" s="47">
        <f>IF(Q52&gt;2400000,T56,U56)</f>
        <v>0</v>
      </c>
      <c r="T56" s="248">
        <f>(Q47-2400000)*30/100</f>
        <v>-415269</v>
      </c>
      <c r="U56" s="248">
        <v>0</v>
      </c>
      <c r="V56" s="248">
        <v>0</v>
      </c>
    </row>
    <row r="57" spans="2:22" s="8" customFormat="1" ht="15" customHeight="1">
      <c r="B57" s="305"/>
      <c r="C57" s="368" t="s">
        <v>284</v>
      </c>
      <c r="D57" s="369"/>
      <c r="E57" s="369"/>
      <c r="F57" s="369"/>
      <c r="G57" s="369"/>
      <c r="H57" s="369"/>
      <c r="I57" s="369"/>
      <c r="J57" s="369"/>
      <c r="K57" s="369"/>
      <c r="L57" s="369"/>
      <c r="M57" s="369"/>
      <c r="N57" s="369"/>
      <c r="O57" s="370"/>
      <c r="P57" s="211" t="s">
        <v>228</v>
      </c>
      <c r="Q57" s="38">
        <f>SUM(Q50:Q56)</f>
        <v>41577</v>
      </c>
      <c r="T57" s="248"/>
      <c r="U57" s="248"/>
      <c r="V57" s="248"/>
    </row>
    <row r="58" spans="2:22" s="8" customFormat="1" ht="27.6" customHeight="1">
      <c r="B58" s="305"/>
      <c r="C58" s="385" t="s">
        <v>367</v>
      </c>
      <c r="D58" s="386"/>
      <c r="E58" s="386"/>
      <c r="F58" s="386"/>
      <c r="G58" s="386"/>
      <c r="H58" s="386"/>
      <c r="I58" s="386"/>
      <c r="J58" s="386"/>
      <c r="K58" s="386"/>
      <c r="L58" s="386"/>
      <c r="M58" s="386"/>
      <c r="N58" s="386"/>
      <c r="O58" s="387"/>
      <c r="P58" s="211" t="s">
        <v>228</v>
      </c>
      <c r="Q58" s="39">
        <f>IF(Q47&lt;=1200000,SUM(Q51:Q56),0)</f>
        <v>41577</v>
      </c>
      <c r="S58" s="11"/>
      <c r="T58" s="248">
        <f>IF(Q47&gt;10000000,(10000000-5000000)*10/100,(Q47-5000000)*10/100)</f>
        <v>-398423</v>
      </c>
      <c r="U58" s="248">
        <v>0</v>
      </c>
      <c r="V58" s="248"/>
    </row>
    <row r="59" spans="2:22" s="8" customFormat="1" ht="15" customHeight="1">
      <c r="B59" s="305"/>
      <c r="C59" s="368" t="s">
        <v>346</v>
      </c>
      <c r="D59" s="369"/>
      <c r="E59" s="369"/>
      <c r="F59" s="369"/>
      <c r="G59" s="369"/>
      <c r="H59" s="369"/>
      <c r="I59" s="369"/>
      <c r="J59" s="369"/>
      <c r="K59" s="369"/>
      <c r="L59" s="369"/>
      <c r="M59" s="369"/>
      <c r="N59" s="369"/>
      <c r="O59" s="370"/>
      <c r="P59" s="211" t="s">
        <v>228</v>
      </c>
      <c r="Q59" s="38">
        <f>Q57-Q58</f>
        <v>0</v>
      </c>
      <c r="T59" s="248">
        <f>(Q47-10000000)*15/100</f>
        <v>-1347634.5</v>
      </c>
      <c r="U59" s="248">
        <v>0</v>
      </c>
      <c r="V59" s="248"/>
    </row>
    <row r="60" spans="2:22" s="8" customFormat="1" ht="15" customHeight="1">
      <c r="B60" s="305"/>
      <c r="C60" s="379" t="s">
        <v>347</v>
      </c>
      <c r="D60" s="380"/>
      <c r="E60" s="380"/>
      <c r="F60" s="380"/>
      <c r="G60" s="380"/>
      <c r="H60" s="380"/>
      <c r="I60" s="380"/>
      <c r="J60" s="380"/>
      <c r="K60" s="380"/>
      <c r="L60" s="380"/>
      <c r="M60" s="380"/>
      <c r="N60" s="380"/>
      <c r="O60" s="381"/>
      <c r="P60" s="211" t="s">
        <v>228</v>
      </c>
      <c r="Q60" s="39">
        <f>ROUND(Q59*0.04,0)</f>
        <v>0</v>
      </c>
    </row>
    <row r="61" spans="2:22" s="8" customFormat="1" ht="15" customHeight="1">
      <c r="B61" s="306"/>
      <c r="C61" s="371" t="s">
        <v>288</v>
      </c>
      <c r="D61" s="372"/>
      <c r="E61" s="372"/>
      <c r="F61" s="372"/>
      <c r="G61" s="372"/>
      <c r="H61" s="372"/>
      <c r="I61" s="372"/>
      <c r="J61" s="372"/>
      <c r="K61" s="372"/>
      <c r="L61" s="372"/>
      <c r="M61" s="372"/>
      <c r="N61" s="372"/>
      <c r="O61" s="373"/>
      <c r="P61" s="211" t="s">
        <v>228</v>
      </c>
      <c r="Q61" s="38">
        <f>SUM(Q59:Q60)</f>
        <v>0</v>
      </c>
    </row>
    <row r="62" spans="2:22" s="8" customFormat="1" ht="15" customHeight="1">
      <c r="B62" s="37">
        <v>17</v>
      </c>
      <c r="C62" s="287" t="s">
        <v>289</v>
      </c>
      <c r="D62" s="288"/>
      <c r="E62" s="288"/>
      <c r="F62" s="288"/>
      <c r="G62" s="288"/>
      <c r="H62" s="288"/>
      <c r="I62" s="288"/>
      <c r="J62" s="288"/>
      <c r="K62" s="288"/>
      <c r="L62" s="288"/>
      <c r="M62" s="288"/>
      <c r="N62" s="288"/>
      <c r="O62" s="289"/>
      <c r="P62" s="211" t="s">
        <v>228</v>
      </c>
      <c r="Q62" s="39">
        <f>'Other Deduction'!E17</f>
        <v>0</v>
      </c>
    </row>
    <row r="63" spans="2:22" s="8" customFormat="1" ht="15" customHeight="1">
      <c r="B63" s="37">
        <v>18</v>
      </c>
      <c r="C63" s="318" t="s">
        <v>290</v>
      </c>
      <c r="D63" s="318"/>
      <c r="E63" s="318"/>
      <c r="F63" s="318"/>
      <c r="G63" s="318"/>
      <c r="H63" s="318"/>
      <c r="I63" s="318"/>
      <c r="J63" s="318"/>
      <c r="K63" s="318"/>
      <c r="L63" s="318"/>
      <c r="M63" s="318"/>
      <c r="N63" s="318"/>
      <c r="O63" s="318"/>
      <c r="P63" s="211" t="s">
        <v>228</v>
      </c>
      <c r="Q63" s="38">
        <f>Q61-Q62</f>
        <v>0</v>
      </c>
    </row>
    <row r="64" spans="2:22" ht="33.75" customHeight="1">
      <c r="B64" s="304">
        <v>19</v>
      </c>
      <c r="C64" s="363" t="s">
        <v>291</v>
      </c>
      <c r="D64" s="363"/>
      <c r="E64" s="364"/>
      <c r="F64" s="360" t="s">
        <v>355</v>
      </c>
      <c r="G64" s="360"/>
      <c r="H64" s="360"/>
      <c r="I64" s="360"/>
      <c r="J64" s="361" t="s">
        <v>356</v>
      </c>
      <c r="K64" s="362"/>
      <c r="L64" s="212" t="s">
        <v>357</v>
      </c>
      <c r="M64" s="361" t="s">
        <v>358</v>
      </c>
      <c r="N64" s="362"/>
      <c r="O64" s="212" t="s">
        <v>292</v>
      </c>
      <c r="P64" s="361" t="s">
        <v>293</v>
      </c>
      <c r="Q64" s="383"/>
    </row>
    <row r="65" spans="1:18" ht="15.75">
      <c r="B65" s="306"/>
      <c r="C65" s="365"/>
      <c r="D65" s="365"/>
      <c r="E65" s="366"/>
      <c r="F65" s="355">
        <f>SUM('GA-55'!X10:X16)</f>
        <v>0</v>
      </c>
      <c r="G65" s="355"/>
      <c r="H65" s="355"/>
      <c r="I65" s="355"/>
      <c r="J65" s="355">
        <f>SUM('GA-55'!X17:X19)</f>
        <v>0</v>
      </c>
      <c r="K65" s="355"/>
      <c r="L65" s="48">
        <f>'GA-55'!X20</f>
        <v>0</v>
      </c>
      <c r="M65" s="355">
        <f>'GA-55'!X21</f>
        <v>0</v>
      </c>
      <c r="N65" s="355"/>
      <c r="O65" s="49">
        <f>SUM('GA-55'!X22:X30)+'Other Deduction'!E18</f>
        <v>0</v>
      </c>
      <c r="P65" s="356">
        <f>F65+J65+L65+M65+O65</f>
        <v>0</v>
      </c>
      <c r="Q65" s="357"/>
    </row>
    <row r="66" spans="1:18" ht="16.5" thickBot="1">
      <c r="B66" s="358" t="str">
        <f>IF(Q63&gt;P65,"Income Tax Payable",IF(Q63&lt;P65,"Income Tax Refundable","Income Tax Payble/Refundable"))</f>
        <v>Income Tax Payble/Refundable</v>
      </c>
      <c r="C66" s="359"/>
      <c r="D66" s="359"/>
      <c r="E66" s="359"/>
      <c r="F66" s="359"/>
      <c r="G66" s="359"/>
      <c r="H66" s="359"/>
      <c r="I66" s="359"/>
      <c r="J66" s="359"/>
      <c r="K66" s="359"/>
      <c r="L66" s="359"/>
      <c r="M66" s="359"/>
      <c r="N66" s="359"/>
      <c r="O66" s="359"/>
      <c r="P66" s="211" t="s">
        <v>228</v>
      </c>
      <c r="Q66" s="50">
        <f>IF(Q63&gt;P65,Q63-P65,P65-Q63)</f>
        <v>0</v>
      </c>
    </row>
    <row r="67" spans="1:18" ht="15.75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10"/>
      <c r="Q67" s="11"/>
    </row>
    <row r="68" spans="1:18" ht="15.75" customHeight="1">
      <c r="D68" s="384" t="s">
        <v>294</v>
      </c>
      <c r="E68" s="384"/>
      <c r="F68" s="384"/>
      <c r="O68" s="215" t="s">
        <v>295</v>
      </c>
    </row>
    <row r="69" spans="1:18" ht="15.75"/>
    <row r="70" spans="1:18" ht="15.75" hidden="1" customHeight="1">
      <c r="C70" s="382"/>
      <c r="D70" s="382"/>
      <c r="E70" s="382"/>
      <c r="F70" s="382"/>
      <c r="G70" s="382"/>
      <c r="H70" s="382"/>
      <c r="I70" s="382"/>
      <c r="J70" s="382"/>
      <c r="K70" s="382"/>
      <c r="L70" s="382"/>
      <c r="M70" s="382"/>
      <c r="N70" s="382"/>
      <c r="O70" s="382"/>
      <c r="P70" s="382"/>
      <c r="Q70" s="382"/>
    </row>
    <row r="71" spans="1:18" ht="15.75" hidden="1" customHeight="1">
      <c r="C71" s="382"/>
      <c r="D71" s="382"/>
      <c r="E71" s="382"/>
      <c r="F71" s="382"/>
      <c r="G71" s="382"/>
      <c r="H71" s="382"/>
      <c r="I71" s="382"/>
      <c r="J71" s="382"/>
      <c r="K71" s="382"/>
      <c r="L71" s="382"/>
      <c r="M71" s="382"/>
      <c r="N71" s="382"/>
      <c r="O71" s="382"/>
      <c r="P71" s="382"/>
      <c r="Q71" s="382"/>
    </row>
    <row r="72" spans="1:18" ht="24" hidden="1" customHeight="1">
      <c r="C72" s="382"/>
      <c r="D72" s="382"/>
      <c r="E72" s="382"/>
      <c r="F72" s="382"/>
      <c r="G72" s="382"/>
      <c r="H72" s="382"/>
      <c r="I72" s="382"/>
      <c r="J72" s="382"/>
      <c r="K72" s="382"/>
      <c r="L72" s="382"/>
      <c r="M72" s="382"/>
      <c r="N72" s="382"/>
      <c r="O72" s="382"/>
      <c r="P72" s="382"/>
      <c r="Q72" s="382"/>
    </row>
    <row r="73" spans="1:18" ht="15.75" hidden="1" customHeight="1">
      <c r="L73" s="367"/>
      <c r="M73" s="367"/>
      <c r="N73" s="367"/>
      <c r="O73" s="367"/>
      <c r="P73" s="367"/>
      <c r="Q73" s="367"/>
    </row>
    <row r="74" spans="1:18" ht="15.75" hidden="1" customHeight="1">
      <c r="L74" s="367"/>
      <c r="M74" s="367"/>
      <c r="N74" s="367"/>
      <c r="O74" s="367"/>
      <c r="P74" s="367"/>
      <c r="Q74" s="367"/>
    </row>
    <row r="75" spans="1:18" ht="15.75" hidden="1" customHeight="1">
      <c r="L75" s="367"/>
      <c r="M75" s="367"/>
      <c r="N75" s="367"/>
      <c r="O75" s="367"/>
      <c r="P75" s="367"/>
      <c r="Q75" s="367"/>
    </row>
    <row r="76" spans="1:18" ht="15.75" hidden="1" customHeight="1">
      <c r="L76" s="367"/>
      <c r="M76" s="367"/>
      <c r="N76" s="367"/>
      <c r="O76" s="367"/>
      <c r="P76" s="367"/>
      <c r="Q76" s="367"/>
    </row>
    <row r="77" spans="1:18" ht="15.75" hidden="1" customHeight="1">
      <c r="L77" s="367"/>
      <c r="M77" s="367"/>
      <c r="N77" s="367"/>
      <c r="O77" s="367"/>
      <c r="P77" s="367"/>
      <c r="Q77" s="367"/>
    </row>
    <row r="78" spans="1:18" ht="15.75" hidden="1">
      <c r="D78" s="319"/>
      <c r="E78" s="319"/>
      <c r="F78" s="319"/>
      <c r="G78" s="319"/>
      <c r="H78" s="319"/>
      <c r="I78" s="319"/>
      <c r="J78" s="319"/>
      <c r="L78" s="367"/>
      <c r="M78" s="367"/>
      <c r="N78" s="367"/>
      <c r="O78" s="367"/>
      <c r="P78" s="367"/>
      <c r="Q78" s="367"/>
    </row>
    <row r="79" spans="1:18" ht="15.75" hidden="1">
      <c r="L79" s="367"/>
      <c r="M79" s="367"/>
      <c r="N79" s="367"/>
      <c r="O79" s="367"/>
      <c r="P79" s="367"/>
      <c r="Q79" s="367"/>
    </row>
    <row r="80" spans="1:18" ht="15.75" hidden="1">
      <c r="A80" s="14"/>
      <c r="B80" s="15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7"/>
      <c r="Q80" s="18"/>
      <c r="R80" s="14"/>
    </row>
    <row r="81" spans="1:18" ht="15.75" hidden="1">
      <c r="A81" s="14"/>
      <c r="B81" s="15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7"/>
      <c r="Q81" s="18"/>
      <c r="R81" s="14"/>
    </row>
    <row r="82" spans="1:18" ht="15.75" hidden="1">
      <c r="A82" s="14"/>
      <c r="B82" s="15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7"/>
      <c r="Q82" s="18"/>
      <c r="R82" s="14"/>
    </row>
    <row r="86" spans="1:18" ht="15.6" customHeight="1"/>
    <row r="87" spans="1:18" ht="15.6" customHeight="1"/>
  </sheetData>
  <sheetProtection password="9090" sheet="1" objects="1" scenarios="1"/>
  <mergeCells count="133">
    <mergeCell ref="C4:O4"/>
    <mergeCell ref="C5:O5"/>
    <mergeCell ref="C7:O7"/>
    <mergeCell ref="B8:B10"/>
    <mergeCell ref="C8:L8"/>
    <mergeCell ref="M8:O8"/>
    <mergeCell ref="B1:Q1"/>
    <mergeCell ref="B2:Q2"/>
    <mergeCell ref="C3:D3"/>
    <mergeCell ref="E3:J3"/>
    <mergeCell ref="L3:N3"/>
    <mergeCell ref="P3:Q3"/>
    <mergeCell ref="C6:O6"/>
    <mergeCell ref="P12:Q14"/>
    <mergeCell ref="C13:D14"/>
    <mergeCell ref="E13:G13"/>
    <mergeCell ref="H13:J13"/>
    <mergeCell ref="K13:L13"/>
    <mergeCell ref="M13:O13"/>
    <mergeCell ref="P8:Q9"/>
    <mergeCell ref="C9:L9"/>
    <mergeCell ref="M9:O9"/>
    <mergeCell ref="C10:L10"/>
    <mergeCell ref="M10:O10"/>
    <mergeCell ref="C11:O11"/>
    <mergeCell ref="E14:G14"/>
    <mergeCell ref="H14:J14"/>
    <mergeCell ref="K14:L14"/>
    <mergeCell ref="M14:O14"/>
    <mergeCell ref="C15:O15"/>
    <mergeCell ref="C16:O16"/>
    <mergeCell ref="B12:B14"/>
    <mergeCell ref="C12:J12"/>
    <mergeCell ref="K12:L12"/>
    <mergeCell ref="M12:O12"/>
    <mergeCell ref="D23:G23"/>
    <mergeCell ref="K23:M23"/>
    <mergeCell ref="D24:G24"/>
    <mergeCell ref="K24:M24"/>
    <mergeCell ref="D25:G25"/>
    <mergeCell ref="C17:O17"/>
    <mergeCell ref="C18:O18"/>
    <mergeCell ref="B19:B33"/>
    <mergeCell ref="C19:Q19"/>
    <mergeCell ref="C20:Q20"/>
    <mergeCell ref="D21:G21"/>
    <mergeCell ref="P21:Q30"/>
    <mergeCell ref="D22:G22"/>
    <mergeCell ref="D29:G29"/>
    <mergeCell ref="K29:M29"/>
    <mergeCell ref="C30:M30"/>
    <mergeCell ref="C31:O31"/>
    <mergeCell ref="D26:G26"/>
    <mergeCell ref="K26:M26"/>
    <mergeCell ref="D27:G27"/>
    <mergeCell ref="D28:G28"/>
    <mergeCell ref="K28:M28"/>
    <mergeCell ref="C33:O33"/>
    <mergeCell ref="C32:O32"/>
    <mergeCell ref="K21:M21"/>
    <mergeCell ref="K22:M22"/>
    <mergeCell ref="C50:E50"/>
    <mergeCell ref="F50:G50"/>
    <mergeCell ref="H50:J50"/>
    <mergeCell ref="L50:N50"/>
    <mergeCell ref="C51:E51"/>
    <mergeCell ref="F51:G51"/>
    <mergeCell ref="H51:J51"/>
    <mergeCell ref="L51:N51"/>
    <mergeCell ref="C42:O42"/>
    <mergeCell ref="H49:K49"/>
    <mergeCell ref="L49:O49"/>
    <mergeCell ref="C45:O45"/>
    <mergeCell ref="C46:O46"/>
    <mergeCell ref="C47:O47"/>
    <mergeCell ref="B34:B44"/>
    <mergeCell ref="C34:Q34"/>
    <mergeCell ref="C35:O35"/>
    <mergeCell ref="C36:O36"/>
    <mergeCell ref="C37:O37"/>
    <mergeCell ref="C38:O38"/>
    <mergeCell ref="C39:O39"/>
    <mergeCell ref="C40:O40"/>
    <mergeCell ref="C41:O41"/>
    <mergeCell ref="C44:O44"/>
    <mergeCell ref="C43:O43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C55:E55"/>
    <mergeCell ref="F55:G55"/>
    <mergeCell ref="H55:J55"/>
    <mergeCell ref="L55:N55"/>
    <mergeCell ref="D68:F68"/>
    <mergeCell ref="K25:M25"/>
    <mergeCell ref="K27:M27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7:O57"/>
    <mergeCell ref="C58:O58"/>
    <mergeCell ref="C59:O59"/>
  </mergeCell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C00000"/>
  </sheetPr>
  <dimension ref="A1:M159"/>
  <sheetViews>
    <sheetView workbookViewId="0">
      <selection activeCell="I17" sqref="I17"/>
    </sheetView>
  </sheetViews>
  <sheetFormatPr defaultColWidth="0" defaultRowHeight="12.75" zeroHeight="1"/>
  <cols>
    <col min="1" max="8" width="9.140625" style="83" customWidth="1"/>
    <col min="9" max="9" width="10.85546875" style="83" customWidth="1"/>
    <col min="10" max="10" width="9.85546875" style="83" customWidth="1"/>
    <col min="11" max="11" width="9.140625" style="83" customWidth="1"/>
    <col min="12" max="12" width="10" style="84" customWidth="1"/>
    <col min="13" max="13" width="0" style="82" hidden="1" customWidth="1"/>
    <col min="14" max="16384" width="9.140625" style="82" hidden="1"/>
  </cols>
  <sheetData>
    <row r="1" spans="1:12" ht="31.5" customHeight="1">
      <c r="A1" s="554" t="s">
        <v>348</v>
      </c>
      <c r="B1" s="554"/>
      <c r="C1" s="554"/>
      <c r="D1" s="554"/>
      <c r="E1" s="554"/>
      <c r="F1" s="554"/>
      <c r="G1" s="554"/>
      <c r="H1" s="554"/>
      <c r="I1" s="555" t="s">
        <v>354</v>
      </c>
      <c r="J1" s="555"/>
      <c r="K1" s="555"/>
      <c r="L1" s="556"/>
    </row>
    <row r="2" spans="1:12" ht="18">
      <c r="A2" s="579" t="s">
        <v>82</v>
      </c>
      <c r="B2" s="580"/>
      <c r="C2" s="580"/>
      <c r="D2" s="580"/>
      <c r="E2" s="580"/>
      <c r="F2" s="580"/>
      <c r="G2" s="580"/>
      <c r="H2" s="580"/>
      <c r="I2" s="580"/>
      <c r="J2" s="580"/>
      <c r="K2" s="580"/>
      <c r="L2" s="581"/>
    </row>
    <row r="3" spans="1:12">
      <c r="A3" s="582" t="s">
        <v>83</v>
      </c>
      <c r="B3" s="583"/>
      <c r="C3" s="583"/>
      <c r="D3" s="583"/>
      <c r="E3" s="583"/>
      <c r="F3" s="583"/>
      <c r="G3" s="583"/>
      <c r="H3" s="583"/>
      <c r="I3" s="583"/>
      <c r="J3" s="583"/>
      <c r="K3" s="583"/>
      <c r="L3" s="584"/>
    </row>
    <row r="4" spans="1:12">
      <c r="A4" s="582" t="s">
        <v>84</v>
      </c>
      <c r="B4" s="583"/>
      <c r="C4" s="583"/>
      <c r="D4" s="583"/>
      <c r="E4" s="583"/>
      <c r="F4" s="583"/>
      <c r="G4" s="583"/>
      <c r="H4" s="583"/>
      <c r="I4" s="583"/>
      <c r="J4" s="583"/>
      <c r="K4" s="583"/>
      <c r="L4" s="584"/>
    </row>
    <row r="5" spans="1:12">
      <c r="A5" s="585" t="s">
        <v>85</v>
      </c>
      <c r="B5" s="586"/>
      <c r="C5" s="586"/>
      <c r="D5" s="586"/>
      <c r="E5" s="586"/>
      <c r="F5" s="586"/>
      <c r="G5" s="586"/>
      <c r="H5" s="586"/>
      <c r="I5" s="586"/>
      <c r="J5" s="586"/>
      <c r="K5" s="586"/>
      <c r="L5" s="587"/>
    </row>
    <row r="6" spans="1:12">
      <c r="A6" s="588" t="s">
        <v>86</v>
      </c>
      <c r="B6" s="589"/>
      <c r="C6" s="589"/>
      <c r="D6" s="589"/>
      <c r="E6" s="589"/>
      <c r="F6" s="589"/>
      <c r="G6" s="589"/>
      <c r="H6" s="589"/>
      <c r="I6" s="589"/>
      <c r="J6" s="589"/>
      <c r="K6" s="589"/>
      <c r="L6" s="590"/>
    </row>
    <row r="7" spans="1:12" ht="33" customHeight="1">
      <c r="A7" s="531" t="s">
        <v>87</v>
      </c>
      <c r="B7" s="591"/>
      <c r="C7" s="591"/>
      <c r="D7" s="591"/>
      <c r="E7" s="591"/>
      <c r="F7" s="591"/>
      <c r="G7" s="531" t="s">
        <v>88</v>
      </c>
      <c r="H7" s="531"/>
      <c r="I7" s="531"/>
      <c r="J7" s="531"/>
      <c r="K7" s="531"/>
      <c r="L7" s="531"/>
    </row>
    <row r="8" spans="1:12" ht="16.5" customHeight="1">
      <c r="A8" s="557" t="s">
        <v>349</v>
      </c>
      <c r="B8" s="558"/>
      <c r="C8" s="558"/>
      <c r="D8" s="558"/>
      <c r="E8" s="558"/>
      <c r="F8" s="559"/>
      <c r="G8" s="560" t="str">
        <f>'GA-55'!D6</f>
        <v>PARMANAND MEGHWAL</v>
      </c>
      <c r="H8" s="561"/>
      <c r="I8" s="561"/>
      <c r="J8" s="561"/>
      <c r="K8" s="561"/>
      <c r="L8" s="562"/>
    </row>
    <row r="9" spans="1:12" ht="18.95" customHeight="1">
      <c r="A9" s="563" t="s">
        <v>350</v>
      </c>
      <c r="B9" s="564"/>
      <c r="C9" s="564"/>
      <c r="D9" s="564"/>
      <c r="E9" s="564"/>
      <c r="F9" s="565"/>
      <c r="G9" s="566" t="str">
        <f>'GA-55'!K6</f>
        <v>SR TEACHER</v>
      </c>
      <c r="H9" s="567"/>
      <c r="I9" s="567"/>
      <c r="J9" s="567"/>
      <c r="K9" s="567"/>
      <c r="L9" s="568"/>
    </row>
    <row r="10" spans="1:12">
      <c r="A10" s="569" t="str">
        <f>'GA-55'!C4</f>
        <v>GOVT SR. SEC SCHOOL DILOD GORDHANPURA, ATRU BARAN</v>
      </c>
      <c r="B10" s="564"/>
      <c r="C10" s="564"/>
      <c r="D10" s="564"/>
      <c r="E10" s="564"/>
      <c r="F10" s="565"/>
      <c r="G10" s="573" t="str">
        <f>A10</f>
        <v>GOVT SR. SEC SCHOOL DILOD GORDHANPURA, ATRU BARAN</v>
      </c>
      <c r="H10" s="574"/>
      <c r="I10" s="574"/>
      <c r="J10" s="574"/>
      <c r="K10" s="574"/>
      <c r="L10" s="575"/>
    </row>
    <row r="11" spans="1:12" ht="17.45" customHeight="1">
      <c r="A11" s="570"/>
      <c r="B11" s="571"/>
      <c r="C11" s="571"/>
      <c r="D11" s="571"/>
      <c r="E11" s="571"/>
      <c r="F11" s="572"/>
      <c r="G11" s="576"/>
      <c r="H11" s="577"/>
      <c r="I11" s="577"/>
      <c r="J11" s="577"/>
      <c r="K11" s="577"/>
      <c r="L11" s="578"/>
    </row>
    <row r="12" spans="1:12">
      <c r="A12" s="517" t="s">
        <v>89</v>
      </c>
      <c r="B12" s="524"/>
      <c r="C12" s="518"/>
      <c r="D12" s="517" t="s">
        <v>90</v>
      </c>
      <c r="E12" s="524"/>
      <c r="F12" s="518"/>
      <c r="G12" s="517" t="s">
        <v>91</v>
      </c>
      <c r="H12" s="524"/>
      <c r="I12" s="524"/>
      <c r="J12" s="524"/>
      <c r="K12" s="524"/>
      <c r="L12" s="518"/>
    </row>
    <row r="13" spans="1:12" ht="15" customHeight="1">
      <c r="A13" s="525"/>
      <c r="B13" s="526"/>
      <c r="C13" s="527"/>
      <c r="D13" s="528" t="str">
        <f>'GA-55'!U6</f>
        <v>AAAAAAAA</v>
      </c>
      <c r="E13" s="529"/>
      <c r="F13" s="530"/>
      <c r="G13" s="528" t="str">
        <f>'GA-55'!P6</f>
        <v>XXXXXXXXX</v>
      </c>
      <c r="H13" s="529"/>
      <c r="I13" s="529"/>
      <c r="J13" s="529"/>
      <c r="K13" s="529"/>
      <c r="L13" s="530"/>
    </row>
    <row r="14" spans="1:12">
      <c r="A14" s="85" t="s">
        <v>92</v>
      </c>
      <c r="B14" s="86"/>
      <c r="C14" s="87"/>
      <c r="D14" s="537"/>
      <c r="E14" s="538"/>
      <c r="F14" s="539"/>
      <c r="G14" s="524" t="s">
        <v>93</v>
      </c>
      <c r="H14" s="524"/>
      <c r="I14" s="524"/>
      <c r="J14" s="517" t="s">
        <v>94</v>
      </c>
      <c r="K14" s="546"/>
      <c r="L14" s="547"/>
    </row>
    <row r="15" spans="1:12">
      <c r="A15" s="88" t="s">
        <v>95</v>
      </c>
      <c r="B15" s="89"/>
      <c r="C15" s="90"/>
      <c r="D15" s="540"/>
      <c r="E15" s="541"/>
      <c r="F15" s="542"/>
      <c r="G15" s="517" t="s">
        <v>96</v>
      </c>
      <c r="H15" s="518"/>
      <c r="I15" s="91" t="s">
        <v>97</v>
      </c>
      <c r="J15" s="548" t="s">
        <v>379</v>
      </c>
      <c r="K15" s="549"/>
      <c r="L15" s="550"/>
    </row>
    <row r="16" spans="1:12">
      <c r="A16" s="92" t="s">
        <v>98</v>
      </c>
      <c r="B16" s="93"/>
      <c r="C16" s="94"/>
      <c r="D16" s="543"/>
      <c r="E16" s="544"/>
      <c r="F16" s="545"/>
      <c r="G16" s="521" t="s">
        <v>380</v>
      </c>
      <c r="H16" s="522"/>
      <c r="I16" s="95" t="s">
        <v>381</v>
      </c>
      <c r="J16" s="551"/>
      <c r="K16" s="552"/>
      <c r="L16" s="553"/>
    </row>
    <row r="17" spans="1:12">
      <c r="A17" s="92" t="s">
        <v>99</v>
      </c>
      <c r="B17" s="93"/>
      <c r="C17" s="93"/>
      <c r="D17" s="96"/>
      <c r="E17" s="96"/>
      <c r="F17" s="96"/>
      <c r="G17" s="97"/>
      <c r="H17" s="97"/>
      <c r="I17" s="97"/>
      <c r="J17" s="97"/>
      <c r="K17" s="97"/>
      <c r="L17" s="98"/>
    </row>
    <row r="18" spans="1:12">
      <c r="A18" s="531" t="s">
        <v>100</v>
      </c>
      <c r="B18" s="531"/>
      <c r="C18" s="532" t="s">
        <v>101</v>
      </c>
      <c r="D18" s="532"/>
      <c r="E18" s="532"/>
      <c r="F18" s="533" t="s">
        <v>102</v>
      </c>
      <c r="G18" s="533"/>
      <c r="H18" s="534" t="s">
        <v>103</v>
      </c>
      <c r="I18" s="535"/>
      <c r="J18" s="536"/>
      <c r="K18" s="532" t="s">
        <v>104</v>
      </c>
      <c r="L18" s="532"/>
    </row>
    <row r="19" spans="1:12">
      <c r="A19" s="521" t="s">
        <v>105</v>
      </c>
      <c r="B19" s="522"/>
      <c r="C19" s="475"/>
      <c r="D19" s="476"/>
      <c r="E19" s="477"/>
      <c r="F19" s="446">
        <f>SUM('GA-55'!N10+'GA-55'!N11+'GA-55'!N12)</f>
        <v>264638</v>
      </c>
      <c r="G19" s="447"/>
      <c r="H19" s="475">
        <f>SUM('GA-55'!X10:X12)</f>
        <v>0</v>
      </c>
      <c r="I19" s="476"/>
      <c r="J19" s="477"/>
      <c r="K19" s="446">
        <f>H19</f>
        <v>0</v>
      </c>
      <c r="L19" s="523"/>
    </row>
    <row r="20" spans="1:12">
      <c r="A20" s="521" t="s">
        <v>106</v>
      </c>
      <c r="B20" s="522"/>
      <c r="C20" s="475"/>
      <c r="D20" s="476"/>
      <c r="E20" s="477"/>
      <c r="F20" s="446">
        <f>SUM('GA-55'!N13+'GA-55'!N14+'GA-55'!N15+'GA-55'!N22)</f>
        <v>276354</v>
      </c>
      <c r="G20" s="447"/>
      <c r="H20" s="475">
        <f>SUM('GA-55'!X13:X15)+'GA-55'!X22</f>
        <v>0</v>
      </c>
      <c r="I20" s="476"/>
      <c r="J20" s="477"/>
      <c r="K20" s="446">
        <f>H20</f>
        <v>0</v>
      </c>
      <c r="L20" s="523"/>
    </row>
    <row r="21" spans="1:12">
      <c r="A21" s="521" t="s">
        <v>107</v>
      </c>
      <c r="B21" s="522"/>
      <c r="C21" s="475"/>
      <c r="D21" s="476"/>
      <c r="E21" s="477"/>
      <c r="F21" s="446">
        <f>SUM('GA-55'!N16+'GA-55'!N17+'GA-55'!N18+'GA-55'!N25)</f>
        <v>274890</v>
      </c>
      <c r="G21" s="447"/>
      <c r="H21" s="475">
        <f>SUM('GA-55'!X16:X18)+'GA-55'!X25</f>
        <v>0</v>
      </c>
      <c r="I21" s="476"/>
      <c r="J21" s="477"/>
      <c r="K21" s="446">
        <f>H21</f>
        <v>0</v>
      </c>
      <c r="L21" s="447"/>
    </row>
    <row r="22" spans="1:12">
      <c r="A22" s="521" t="s">
        <v>108</v>
      </c>
      <c r="B22" s="522"/>
      <c r="C22" s="475"/>
      <c r="D22" s="476"/>
      <c r="E22" s="477"/>
      <c r="F22" s="446">
        <f>SUM('GA-55'!N19+'GA-55'!N20+'GA-55'!N21+'GA-55'!N22+'GA-55'!N24+'GA-55'!N26+'GA-55'!N227+'GA-55'!N28+'GA-55'!N29+'GA-55'!N30)</f>
        <v>279074</v>
      </c>
      <c r="G22" s="447"/>
      <c r="H22" s="475">
        <f>SUM('GA-55'!X19:X30)</f>
        <v>0</v>
      </c>
      <c r="I22" s="476"/>
      <c r="J22" s="477"/>
      <c r="K22" s="446">
        <f>H22</f>
        <v>0</v>
      </c>
      <c r="L22" s="447"/>
    </row>
    <row r="23" spans="1:12">
      <c r="A23" s="517" t="s">
        <v>109</v>
      </c>
      <c r="B23" s="518"/>
      <c r="C23" s="478"/>
      <c r="D23" s="479"/>
      <c r="E23" s="480"/>
      <c r="F23" s="519">
        <f>SUM(F19:F22)</f>
        <v>1094956</v>
      </c>
      <c r="G23" s="520"/>
      <c r="H23" s="478">
        <f>SUM(H19:H22)</f>
        <v>0</v>
      </c>
      <c r="I23" s="479"/>
      <c r="J23" s="480"/>
      <c r="K23" s="519">
        <f>SUM(K19:K22)</f>
        <v>0</v>
      </c>
      <c r="L23" s="520"/>
    </row>
    <row r="24" spans="1:12">
      <c r="A24" s="511" t="s">
        <v>110</v>
      </c>
      <c r="B24" s="512"/>
      <c r="C24" s="512"/>
      <c r="D24" s="512"/>
      <c r="E24" s="513"/>
      <c r="F24" s="513"/>
      <c r="G24" s="513"/>
      <c r="H24" s="513"/>
      <c r="I24" s="513"/>
      <c r="J24" s="513"/>
      <c r="K24" s="513"/>
      <c r="L24" s="514"/>
    </row>
    <row r="25" spans="1:12">
      <c r="A25" s="99" t="s">
        <v>111</v>
      </c>
      <c r="B25" s="500" t="s">
        <v>112</v>
      </c>
      <c r="C25" s="500"/>
      <c r="D25" s="501"/>
      <c r="E25" s="502" t="s">
        <v>113</v>
      </c>
      <c r="F25" s="503"/>
      <c r="G25" s="503"/>
      <c r="H25" s="503"/>
      <c r="I25" s="421"/>
      <c r="J25" s="421"/>
      <c r="K25" s="503"/>
      <c r="L25" s="504"/>
    </row>
    <row r="26" spans="1:12">
      <c r="A26" s="100"/>
      <c r="B26" s="505" t="s">
        <v>114</v>
      </c>
      <c r="C26" s="505"/>
      <c r="D26" s="505"/>
      <c r="E26" s="506" t="s">
        <v>115</v>
      </c>
      <c r="F26" s="507"/>
      <c r="G26" s="506" t="s">
        <v>116</v>
      </c>
      <c r="H26" s="508"/>
      <c r="I26" s="506" t="s">
        <v>117</v>
      </c>
      <c r="J26" s="508"/>
      <c r="K26" s="509" t="s">
        <v>118</v>
      </c>
      <c r="L26" s="510"/>
    </row>
    <row r="27" spans="1:12">
      <c r="A27" s="100"/>
      <c r="B27" s="101"/>
      <c r="C27" s="101" t="s">
        <v>119</v>
      </c>
      <c r="D27" s="101"/>
      <c r="E27" s="490" t="s">
        <v>120</v>
      </c>
      <c r="F27" s="491"/>
      <c r="G27" s="490" t="s">
        <v>120</v>
      </c>
      <c r="H27" s="492"/>
      <c r="I27" s="490" t="s">
        <v>120</v>
      </c>
      <c r="J27" s="492"/>
      <c r="K27" s="493" t="s">
        <v>121</v>
      </c>
      <c r="L27" s="494"/>
    </row>
    <row r="28" spans="1:12">
      <c r="A28" s="102"/>
      <c r="B28" s="495"/>
      <c r="C28" s="495"/>
      <c r="D28" s="495"/>
      <c r="E28" s="103"/>
      <c r="F28" s="104"/>
      <c r="G28" s="496"/>
      <c r="H28" s="497"/>
      <c r="I28" s="498" t="s">
        <v>122</v>
      </c>
      <c r="J28" s="499"/>
      <c r="K28" s="105"/>
      <c r="L28" s="106"/>
    </row>
    <row r="29" spans="1:12">
      <c r="A29" s="91">
        <v>1</v>
      </c>
      <c r="B29" s="475">
        <f>'GA-55'!X10</f>
        <v>0</v>
      </c>
      <c r="C29" s="476"/>
      <c r="D29" s="477"/>
      <c r="E29" s="446"/>
      <c r="F29" s="447"/>
      <c r="G29" s="475"/>
      <c r="H29" s="477"/>
      <c r="I29" s="489"/>
      <c r="J29" s="489"/>
      <c r="K29" s="107"/>
      <c r="L29" s="107"/>
    </row>
    <row r="30" spans="1:12">
      <c r="A30" s="108">
        <v>2</v>
      </c>
      <c r="B30" s="475">
        <f>'GA-55'!X11</f>
        <v>0</v>
      </c>
      <c r="C30" s="476"/>
      <c r="D30" s="477"/>
      <c r="E30" s="446"/>
      <c r="F30" s="447"/>
      <c r="G30" s="475"/>
      <c r="H30" s="477"/>
      <c r="I30" s="489"/>
      <c r="J30" s="489"/>
      <c r="K30" s="107"/>
      <c r="L30" s="107"/>
    </row>
    <row r="31" spans="1:12">
      <c r="A31" s="108">
        <v>3</v>
      </c>
      <c r="B31" s="475">
        <f>'GA-55'!X12</f>
        <v>0</v>
      </c>
      <c r="C31" s="476"/>
      <c r="D31" s="477"/>
      <c r="E31" s="109"/>
      <c r="F31" s="110"/>
      <c r="G31" s="111"/>
      <c r="H31" s="112"/>
      <c r="I31" s="113"/>
      <c r="J31" s="114"/>
      <c r="K31" s="107"/>
      <c r="L31" s="107"/>
    </row>
    <row r="32" spans="1:12">
      <c r="A32" s="108">
        <v>4</v>
      </c>
      <c r="B32" s="475">
        <f>'GA-55'!X13</f>
        <v>0</v>
      </c>
      <c r="C32" s="476"/>
      <c r="D32" s="477"/>
      <c r="E32" s="109"/>
      <c r="F32" s="110"/>
      <c r="G32" s="111"/>
      <c r="H32" s="112"/>
      <c r="I32" s="111"/>
      <c r="J32" s="112"/>
      <c r="K32" s="107"/>
      <c r="L32" s="107"/>
    </row>
    <row r="33" spans="1:12">
      <c r="A33" s="108">
        <v>5</v>
      </c>
      <c r="B33" s="475">
        <f>'GA-55'!X14</f>
        <v>0</v>
      </c>
      <c r="C33" s="476"/>
      <c r="D33" s="477"/>
      <c r="E33" s="109"/>
      <c r="F33" s="110"/>
      <c r="G33" s="111"/>
      <c r="H33" s="112"/>
      <c r="I33" s="111"/>
      <c r="J33" s="112"/>
      <c r="K33" s="107"/>
      <c r="L33" s="107"/>
    </row>
    <row r="34" spans="1:12">
      <c r="A34" s="108">
        <v>6</v>
      </c>
      <c r="B34" s="475">
        <f>'GA-55'!X15</f>
        <v>0</v>
      </c>
      <c r="C34" s="476"/>
      <c r="D34" s="477"/>
      <c r="E34" s="109"/>
      <c r="F34" s="110"/>
      <c r="G34" s="111"/>
      <c r="H34" s="112"/>
      <c r="I34" s="111"/>
      <c r="J34" s="112"/>
      <c r="K34" s="107"/>
      <c r="L34" s="107"/>
    </row>
    <row r="35" spans="1:12">
      <c r="A35" s="108">
        <v>7</v>
      </c>
      <c r="B35" s="475">
        <f>'GA-55'!X16</f>
        <v>0</v>
      </c>
      <c r="C35" s="476"/>
      <c r="D35" s="477"/>
      <c r="E35" s="109"/>
      <c r="F35" s="110"/>
      <c r="G35" s="111"/>
      <c r="H35" s="112"/>
      <c r="I35" s="111"/>
      <c r="J35" s="112"/>
      <c r="K35" s="107"/>
      <c r="L35" s="107"/>
    </row>
    <row r="36" spans="1:12">
      <c r="A36" s="108">
        <v>8</v>
      </c>
      <c r="B36" s="475">
        <f>'GA-55'!X17</f>
        <v>0</v>
      </c>
      <c r="C36" s="476"/>
      <c r="D36" s="477"/>
      <c r="E36" s="109"/>
      <c r="F36" s="110"/>
      <c r="G36" s="111"/>
      <c r="H36" s="112"/>
      <c r="I36" s="111"/>
      <c r="J36" s="112"/>
      <c r="K36" s="107"/>
      <c r="L36" s="107"/>
    </row>
    <row r="37" spans="1:12">
      <c r="A37" s="108">
        <v>9</v>
      </c>
      <c r="B37" s="475">
        <f>'GA-55'!X18</f>
        <v>0</v>
      </c>
      <c r="C37" s="476"/>
      <c r="D37" s="477"/>
      <c r="E37" s="446"/>
      <c r="F37" s="447"/>
      <c r="G37" s="475"/>
      <c r="H37" s="477"/>
      <c r="I37" s="475"/>
      <c r="J37" s="477"/>
      <c r="K37" s="107"/>
      <c r="L37" s="107"/>
    </row>
    <row r="38" spans="1:12">
      <c r="A38" s="108">
        <v>10</v>
      </c>
      <c r="B38" s="475">
        <f>'GA-55'!X19</f>
        <v>0</v>
      </c>
      <c r="C38" s="476"/>
      <c r="D38" s="477"/>
      <c r="E38" s="446"/>
      <c r="F38" s="447"/>
      <c r="G38" s="475"/>
      <c r="H38" s="477"/>
      <c r="I38" s="475"/>
      <c r="J38" s="477"/>
      <c r="K38" s="107"/>
      <c r="L38" s="107"/>
    </row>
    <row r="39" spans="1:12">
      <c r="A39" s="108">
        <v>11</v>
      </c>
      <c r="B39" s="475">
        <f>'GA-55'!X20</f>
        <v>0</v>
      </c>
      <c r="C39" s="476"/>
      <c r="D39" s="477"/>
      <c r="E39" s="446"/>
      <c r="F39" s="447"/>
      <c r="G39" s="475"/>
      <c r="H39" s="477"/>
      <c r="I39" s="475"/>
      <c r="J39" s="477"/>
      <c r="K39" s="107"/>
      <c r="L39" s="107"/>
    </row>
    <row r="40" spans="1:12">
      <c r="A40" s="108">
        <v>12</v>
      </c>
      <c r="B40" s="475">
        <f>'GA-55'!X21</f>
        <v>0</v>
      </c>
      <c r="C40" s="476"/>
      <c r="D40" s="477"/>
      <c r="E40" s="446"/>
      <c r="F40" s="447"/>
      <c r="G40" s="475"/>
      <c r="H40" s="477"/>
      <c r="I40" s="515"/>
      <c r="J40" s="516"/>
      <c r="K40" s="107"/>
      <c r="L40" s="107"/>
    </row>
    <row r="41" spans="1:12">
      <c r="A41" s="108">
        <v>13</v>
      </c>
      <c r="B41" s="475">
        <f>SUM('GA-55'!X22+'GA-55'!X23+'GA-55'!X24+'GA-55'!X25+'GA-55'!X26+'GA-55'!X27+'GA-55'!X28+'GA-55'!X29+'GA-55'!X30)</f>
        <v>0</v>
      </c>
      <c r="C41" s="476"/>
      <c r="D41" s="477"/>
      <c r="E41" s="109"/>
      <c r="F41" s="110"/>
      <c r="G41" s="111"/>
      <c r="H41" s="112"/>
      <c r="I41" s="115"/>
      <c r="J41" s="116"/>
      <c r="K41" s="107"/>
      <c r="L41" s="107"/>
    </row>
    <row r="42" spans="1:12">
      <c r="A42" s="102" t="s">
        <v>123</v>
      </c>
      <c r="B42" s="475">
        <f>SUM(B29:B41)</f>
        <v>0</v>
      </c>
      <c r="C42" s="476"/>
      <c r="D42" s="477"/>
      <c r="E42" s="446"/>
      <c r="F42" s="447"/>
      <c r="G42" s="475"/>
      <c r="H42" s="477"/>
      <c r="I42" s="489"/>
      <c r="J42" s="489"/>
      <c r="K42" s="107"/>
      <c r="L42" s="107"/>
    </row>
    <row r="43" spans="1:12">
      <c r="A43" s="92"/>
      <c r="B43" s="117"/>
      <c r="C43" s="117"/>
      <c r="D43" s="117"/>
      <c r="E43" s="118"/>
      <c r="F43" s="118"/>
      <c r="G43" s="117"/>
      <c r="H43" s="117"/>
      <c r="I43" s="97"/>
      <c r="J43" s="97"/>
      <c r="K43" s="97"/>
      <c r="L43" s="106"/>
    </row>
    <row r="44" spans="1:12">
      <c r="A44" s="511" t="s">
        <v>124</v>
      </c>
      <c r="B44" s="512"/>
      <c r="C44" s="512"/>
      <c r="D44" s="512"/>
      <c r="E44" s="513"/>
      <c r="F44" s="513"/>
      <c r="G44" s="513"/>
      <c r="H44" s="513"/>
      <c r="I44" s="513"/>
      <c r="J44" s="513"/>
      <c r="K44" s="513"/>
      <c r="L44" s="514"/>
    </row>
    <row r="45" spans="1:12">
      <c r="A45" s="99" t="s">
        <v>111</v>
      </c>
      <c r="B45" s="500" t="s">
        <v>112</v>
      </c>
      <c r="C45" s="500"/>
      <c r="D45" s="501"/>
      <c r="E45" s="502" t="s">
        <v>125</v>
      </c>
      <c r="F45" s="503"/>
      <c r="G45" s="503"/>
      <c r="H45" s="503"/>
      <c r="I45" s="421"/>
      <c r="J45" s="421"/>
      <c r="K45" s="503"/>
      <c r="L45" s="504"/>
    </row>
    <row r="46" spans="1:12">
      <c r="A46" s="100"/>
      <c r="B46" s="505" t="s">
        <v>114</v>
      </c>
      <c r="C46" s="505"/>
      <c r="D46" s="505"/>
      <c r="E46" s="506" t="s">
        <v>126</v>
      </c>
      <c r="F46" s="507"/>
      <c r="G46" s="506" t="s">
        <v>127</v>
      </c>
      <c r="H46" s="508"/>
      <c r="I46" s="506" t="s">
        <v>128</v>
      </c>
      <c r="J46" s="508"/>
      <c r="K46" s="509" t="s">
        <v>118</v>
      </c>
      <c r="L46" s="510"/>
    </row>
    <row r="47" spans="1:12">
      <c r="A47" s="100"/>
      <c r="B47" s="101"/>
      <c r="C47" s="101" t="s">
        <v>119</v>
      </c>
      <c r="D47" s="101"/>
      <c r="E47" s="490" t="s">
        <v>129</v>
      </c>
      <c r="F47" s="491"/>
      <c r="G47" s="490" t="s">
        <v>43</v>
      </c>
      <c r="H47" s="492"/>
      <c r="I47" s="490" t="s">
        <v>130</v>
      </c>
      <c r="J47" s="492"/>
      <c r="K47" s="493" t="s">
        <v>121</v>
      </c>
      <c r="L47" s="494"/>
    </row>
    <row r="48" spans="1:12">
      <c r="A48" s="102"/>
      <c r="B48" s="495"/>
      <c r="C48" s="495"/>
      <c r="D48" s="495"/>
      <c r="E48" s="103"/>
      <c r="F48" s="104"/>
      <c r="G48" s="496" t="s">
        <v>122</v>
      </c>
      <c r="H48" s="497"/>
      <c r="I48" s="498"/>
      <c r="J48" s="499"/>
      <c r="K48" s="105"/>
      <c r="L48" s="106"/>
    </row>
    <row r="49" spans="1:12">
      <c r="A49" s="91">
        <v>1</v>
      </c>
      <c r="B49" s="475"/>
      <c r="C49" s="476"/>
      <c r="D49" s="477"/>
      <c r="E49" s="119"/>
      <c r="F49" s="110"/>
      <c r="G49" s="475"/>
      <c r="H49" s="477"/>
      <c r="I49" s="488"/>
      <c r="J49" s="489"/>
      <c r="K49" s="107"/>
      <c r="L49" s="107"/>
    </row>
    <row r="50" spans="1:12">
      <c r="A50" s="108">
        <v>2</v>
      </c>
      <c r="B50" s="475"/>
      <c r="C50" s="476"/>
      <c r="D50" s="477"/>
      <c r="E50" s="119"/>
      <c r="F50" s="110"/>
      <c r="G50" s="475"/>
      <c r="H50" s="477"/>
      <c r="I50" s="488"/>
      <c r="J50" s="489"/>
      <c r="K50" s="107"/>
      <c r="L50" s="107"/>
    </row>
    <row r="51" spans="1:12">
      <c r="A51" s="108">
        <v>3</v>
      </c>
      <c r="B51" s="475"/>
      <c r="C51" s="476"/>
      <c r="D51" s="477"/>
      <c r="E51" s="119"/>
      <c r="F51" s="110"/>
      <c r="G51" s="475"/>
      <c r="H51" s="477"/>
      <c r="I51" s="486"/>
      <c r="J51" s="487"/>
      <c r="K51" s="107"/>
      <c r="L51" s="107"/>
    </row>
    <row r="52" spans="1:12">
      <c r="A52" s="108">
        <v>4</v>
      </c>
      <c r="B52" s="475"/>
      <c r="C52" s="476"/>
      <c r="D52" s="477"/>
      <c r="E52" s="119"/>
      <c r="F52" s="110"/>
      <c r="G52" s="475"/>
      <c r="H52" s="477"/>
      <c r="I52" s="485"/>
      <c r="J52" s="477"/>
      <c r="K52" s="107"/>
      <c r="L52" s="107"/>
    </row>
    <row r="53" spans="1:12">
      <c r="A53" s="108">
        <v>5</v>
      </c>
      <c r="B53" s="475"/>
      <c r="C53" s="476"/>
      <c r="D53" s="477"/>
      <c r="E53" s="119"/>
      <c r="F53" s="110"/>
      <c r="G53" s="475"/>
      <c r="H53" s="477"/>
      <c r="I53" s="485"/>
      <c r="J53" s="477"/>
      <c r="K53" s="107"/>
      <c r="L53" s="107"/>
    </row>
    <row r="54" spans="1:12">
      <c r="A54" s="108">
        <v>6</v>
      </c>
      <c r="B54" s="475"/>
      <c r="C54" s="476"/>
      <c r="D54" s="477"/>
      <c r="E54" s="119"/>
      <c r="F54" s="110"/>
      <c r="G54" s="475"/>
      <c r="H54" s="477"/>
      <c r="I54" s="485"/>
      <c r="J54" s="477"/>
      <c r="K54" s="107"/>
      <c r="L54" s="107"/>
    </row>
    <row r="55" spans="1:12">
      <c r="A55" s="108">
        <v>7</v>
      </c>
      <c r="B55" s="475"/>
      <c r="C55" s="476"/>
      <c r="D55" s="477"/>
      <c r="E55" s="119"/>
      <c r="F55" s="110"/>
      <c r="G55" s="475"/>
      <c r="H55" s="477"/>
      <c r="I55" s="485"/>
      <c r="J55" s="477"/>
      <c r="K55" s="107"/>
      <c r="L55" s="107"/>
    </row>
    <row r="56" spans="1:12">
      <c r="A56" s="108">
        <v>8</v>
      </c>
      <c r="B56" s="475"/>
      <c r="C56" s="476"/>
      <c r="D56" s="477"/>
      <c r="E56" s="119"/>
      <c r="F56" s="110"/>
      <c r="G56" s="475"/>
      <c r="H56" s="477"/>
      <c r="I56" s="485"/>
      <c r="J56" s="477"/>
      <c r="K56" s="107"/>
      <c r="L56" s="107"/>
    </row>
    <row r="57" spans="1:12">
      <c r="A57" s="108">
        <v>9</v>
      </c>
      <c r="B57" s="475"/>
      <c r="C57" s="476"/>
      <c r="D57" s="477"/>
      <c r="E57" s="119"/>
      <c r="F57" s="110"/>
      <c r="G57" s="475"/>
      <c r="H57" s="477"/>
      <c r="I57" s="485"/>
      <c r="J57" s="477"/>
      <c r="K57" s="107"/>
      <c r="L57" s="107"/>
    </row>
    <row r="58" spans="1:12">
      <c r="A58" s="108">
        <v>10</v>
      </c>
      <c r="B58" s="475"/>
      <c r="C58" s="476"/>
      <c r="D58" s="477"/>
      <c r="E58" s="119"/>
      <c r="F58" s="110"/>
      <c r="G58" s="475"/>
      <c r="H58" s="477"/>
      <c r="I58" s="485"/>
      <c r="J58" s="477"/>
      <c r="K58" s="107"/>
      <c r="L58" s="107"/>
    </row>
    <row r="59" spans="1:12">
      <c r="A59" s="108">
        <v>11</v>
      </c>
      <c r="B59" s="475"/>
      <c r="C59" s="476"/>
      <c r="D59" s="477"/>
      <c r="E59" s="119"/>
      <c r="F59" s="110"/>
      <c r="G59" s="475"/>
      <c r="H59" s="477"/>
      <c r="I59" s="485"/>
      <c r="J59" s="477"/>
      <c r="K59" s="107"/>
      <c r="L59" s="107"/>
    </row>
    <row r="60" spans="1:12">
      <c r="A60" s="108">
        <v>12</v>
      </c>
      <c r="B60" s="475"/>
      <c r="C60" s="476"/>
      <c r="D60" s="477"/>
      <c r="E60" s="119"/>
      <c r="F60" s="110"/>
      <c r="G60" s="475"/>
      <c r="H60" s="477"/>
      <c r="I60" s="485"/>
      <c r="J60" s="477"/>
      <c r="K60" s="107"/>
      <c r="L60" s="107"/>
    </row>
    <row r="61" spans="1:12">
      <c r="A61" s="108">
        <v>13</v>
      </c>
      <c r="B61" s="475"/>
      <c r="C61" s="476"/>
      <c r="D61" s="477"/>
      <c r="E61" s="119"/>
      <c r="F61" s="110"/>
      <c r="G61" s="111"/>
      <c r="H61" s="120"/>
      <c r="I61" s="121"/>
      <c r="J61" s="120"/>
      <c r="K61" s="120"/>
      <c r="L61" s="112"/>
    </row>
    <row r="62" spans="1:12">
      <c r="A62" s="122" t="s">
        <v>123</v>
      </c>
      <c r="B62" s="478">
        <f>SUM(B49:D60)</f>
        <v>0</v>
      </c>
      <c r="C62" s="479"/>
      <c r="D62" s="480"/>
      <c r="E62" s="481"/>
      <c r="F62" s="447"/>
      <c r="G62" s="475"/>
      <c r="H62" s="476"/>
      <c r="I62" s="476"/>
      <c r="J62" s="476"/>
      <c r="K62" s="476"/>
      <c r="L62" s="477"/>
    </row>
    <row r="63" spans="1:12">
      <c r="A63" s="418" t="s">
        <v>131</v>
      </c>
      <c r="B63" s="419"/>
      <c r="C63" s="419"/>
      <c r="D63" s="419"/>
      <c r="E63" s="419"/>
      <c r="F63" s="419"/>
      <c r="G63" s="419"/>
      <c r="H63" s="419"/>
      <c r="I63" s="419"/>
      <c r="J63" s="419"/>
      <c r="K63" s="419"/>
      <c r="L63" s="482"/>
    </row>
    <row r="64" spans="1:12">
      <c r="A64" s="123" t="s">
        <v>132</v>
      </c>
      <c r="B64" s="421" t="str">
        <f>A8</f>
        <v>RAJENDRA KUMAR CHITTORA</v>
      </c>
      <c r="C64" s="421"/>
      <c r="D64" s="421"/>
      <c r="E64" s="86" t="s">
        <v>133</v>
      </c>
      <c r="F64" s="124"/>
      <c r="G64" s="483" t="s">
        <v>351</v>
      </c>
      <c r="H64" s="484"/>
      <c r="I64" s="484"/>
      <c r="J64" s="86" t="s">
        <v>134</v>
      </c>
      <c r="K64" s="124"/>
      <c r="L64" s="125"/>
    </row>
    <row r="65" spans="1:12">
      <c r="A65" s="424" t="str">
        <f>A9</f>
        <v>PRINCIPAL</v>
      </c>
      <c r="B65" s="425"/>
      <c r="C65" s="425"/>
      <c r="D65" s="89" t="s">
        <v>135</v>
      </c>
      <c r="E65" s="89"/>
      <c r="F65" s="126"/>
      <c r="G65" s="126"/>
      <c r="H65" s="126"/>
      <c r="I65" s="127">
        <f>H23</f>
        <v>0</v>
      </c>
      <c r="J65" s="467" t="s">
        <v>136</v>
      </c>
      <c r="K65" s="467"/>
      <c r="L65" s="128"/>
    </row>
    <row r="66" spans="1:12">
      <c r="A66" s="468"/>
      <c r="B66" s="469"/>
      <c r="C66" s="469"/>
      <c r="D66" s="469"/>
      <c r="E66" s="469"/>
      <c r="F66" s="129" t="s">
        <v>137</v>
      </c>
      <c r="G66" s="130"/>
      <c r="H66" s="130"/>
      <c r="I66" s="130"/>
      <c r="J66" s="130"/>
      <c r="K66" s="130"/>
      <c r="L66" s="131"/>
    </row>
    <row r="67" spans="1:12">
      <c r="A67" s="404" t="s">
        <v>138</v>
      </c>
      <c r="B67" s="405"/>
      <c r="C67" s="405"/>
      <c r="D67" s="405"/>
      <c r="E67" s="405"/>
      <c r="F67" s="405"/>
      <c r="G67" s="405"/>
      <c r="H67" s="405"/>
      <c r="I67" s="405"/>
      <c r="J67" s="405"/>
      <c r="K67" s="405"/>
      <c r="L67" s="406"/>
    </row>
    <row r="68" spans="1:12">
      <c r="A68" s="470"/>
      <c r="B68" s="471"/>
      <c r="C68" s="471"/>
      <c r="D68" s="471"/>
      <c r="E68" s="471"/>
      <c r="F68" s="471"/>
      <c r="G68" s="471"/>
      <c r="H68" s="471"/>
      <c r="I68" s="471"/>
      <c r="J68" s="471"/>
      <c r="K68" s="471"/>
      <c r="L68" s="472"/>
    </row>
    <row r="69" spans="1:12">
      <c r="A69" s="473" t="s">
        <v>139</v>
      </c>
      <c r="B69" s="474"/>
      <c r="C69" s="132"/>
      <c r="D69" s="132"/>
      <c r="E69" s="132"/>
      <c r="F69" s="132"/>
      <c r="G69" s="132"/>
      <c r="H69" s="132"/>
      <c r="I69" s="132"/>
      <c r="J69" s="132"/>
      <c r="K69" s="132"/>
      <c r="L69" s="133"/>
    </row>
    <row r="70" spans="1:12">
      <c r="A70" s="457" t="s">
        <v>140</v>
      </c>
      <c r="B70" s="458"/>
      <c r="C70" s="458"/>
      <c r="D70" s="458"/>
      <c r="E70" s="458"/>
      <c r="F70" s="458"/>
      <c r="G70" s="458"/>
      <c r="H70" s="458"/>
      <c r="I70" s="458"/>
      <c r="J70" s="458"/>
      <c r="K70" s="458"/>
      <c r="L70" s="459"/>
    </row>
    <row r="71" spans="1:12">
      <c r="A71" s="457" t="s">
        <v>141</v>
      </c>
      <c r="B71" s="458"/>
      <c r="C71" s="458"/>
      <c r="D71" s="458"/>
      <c r="E71" s="458"/>
      <c r="F71" s="458"/>
      <c r="G71" s="458"/>
      <c r="H71" s="458"/>
      <c r="I71" s="458"/>
      <c r="J71" s="458"/>
      <c r="K71" s="458"/>
      <c r="L71" s="459"/>
    </row>
    <row r="72" spans="1:12">
      <c r="A72" s="457" t="s">
        <v>142</v>
      </c>
      <c r="B72" s="458"/>
      <c r="C72" s="458"/>
      <c r="D72" s="458"/>
      <c r="E72" s="458"/>
      <c r="F72" s="458"/>
      <c r="G72" s="458"/>
      <c r="H72" s="458"/>
      <c r="I72" s="458"/>
      <c r="J72" s="458"/>
      <c r="K72" s="458"/>
      <c r="L72" s="459"/>
    </row>
    <row r="73" spans="1:12">
      <c r="A73" s="457" t="s">
        <v>143</v>
      </c>
      <c r="B73" s="458"/>
      <c r="C73" s="458"/>
      <c r="D73" s="458"/>
      <c r="E73" s="458"/>
      <c r="F73" s="458"/>
      <c r="G73" s="458"/>
      <c r="H73" s="458"/>
      <c r="I73" s="458"/>
      <c r="J73" s="458"/>
      <c r="K73" s="458"/>
      <c r="L73" s="459"/>
    </row>
    <row r="74" spans="1:12">
      <c r="A74" s="457" t="s">
        <v>144</v>
      </c>
      <c r="B74" s="458"/>
      <c r="C74" s="458"/>
      <c r="D74" s="458"/>
      <c r="E74" s="458"/>
      <c r="F74" s="458"/>
      <c r="G74" s="458"/>
      <c r="H74" s="134"/>
      <c r="I74" s="134"/>
      <c r="J74" s="134"/>
      <c r="K74" s="134"/>
      <c r="L74" s="135"/>
    </row>
    <row r="75" spans="1:12">
      <c r="A75" s="457" t="s">
        <v>145</v>
      </c>
      <c r="B75" s="458"/>
      <c r="C75" s="458"/>
      <c r="D75" s="458"/>
      <c r="E75" s="458"/>
      <c r="F75" s="458"/>
      <c r="G75" s="458"/>
      <c r="H75" s="458"/>
      <c r="I75" s="458"/>
      <c r="J75" s="458"/>
      <c r="K75" s="458"/>
      <c r="L75" s="459"/>
    </row>
    <row r="76" spans="1:12">
      <c r="A76" s="457" t="s">
        <v>146</v>
      </c>
      <c r="B76" s="458"/>
      <c r="C76" s="458"/>
      <c r="D76" s="458"/>
      <c r="E76" s="458"/>
      <c r="F76" s="458"/>
      <c r="G76" s="458"/>
      <c r="H76" s="458"/>
      <c r="I76" s="458"/>
      <c r="J76" s="458"/>
      <c r="K76" s="458"/>
      <c r="L76" s="459"/>
    </row>
    <row r="77" spans="1:12">
      <c r="A77" s="457" t="s">
        <v>147</v>
      </c>
      <c r="B77" s="458"/>
      <c r="C77" s="458"/>
      <c r="D77" s="458"/>
      <c r="E77" s="458"/>
      <c r="F77" s="458"/>
      <c r="G77" s="458"/>
      <c r="H77" s="458"/>
      <c r="I77" s="458"/>
      <c r="J77" s="458"/>
      <c r="K77" s="458"/>
      <c r="L77" s="459"/>
    </row>
    <row r="78" spans="1:12">
      <c r="A78" s="457" t="s">
        <v>148</v>
      </c>
      <c r="B78" s="458"/>
      <c r="C78" s="458"/>
      <c r="D78" s="458"/>
      <c r="E78" s="458"/>
      <c r="F78" s="458"/>
      <c r="G78" s="458"/>
      <c r="H78" s="458"/>
      <c r="I78" s="458"/>
      <c r="J78" s="458"/>
      <c r="K78" s="458"/>
      <c r="L78" s="459"/>
    </row>
    <row r="79" spans="1:12">
      <c r="A79" s="404" t="s">
        <v>149</v>
      </c>
      <c r="B79" s="405"/>
      <c r="C79" s="405"/>
      <c r="D79" s="405"/>
      <c r="E79" s="405"/>
      <c r="F79" s="405"/>
      <c r="G79" s="405"/>
      <c r="H79" s="405"/>
      <c r="I79" s="405"/>
      <c r="J79" s="405"/>
      <c r="K79" s="405"/>
      <c r="L79" s="406"/>
    </row>
    <row r="80" spans="1:12">
      <c r="A80" s="404" t="s">
        <v>150</v>
      </c>
      <c r="B80" s="405"/>
      <c r="C80" s="405"/>
      <c r="D80" s="405"/>
      <c r="E80" s="405"/>
      <c r="F80" s="89"/>
      <c r="G80" s="89"/>
      <c r="H80" s="89"/>
      <c r="I80" s="89"/>
      <c r="J80" s="89"/>
      <c r="K80" s="89"/>
      <c r="L80" s="136"/>
    </row>
    <row r="81" spans="1:12">
      <c r="A81" s="137" t="s">
        <v>151</v>
      </c>
      <c r="B81" s="89"/>
      <c r="C81" s="89"/>
      <c r="D81" s="89"/>
      <c r="E81" s="89"/>
      <c r="F81" s="134"/>
      <c r="G81" s="134"/>
      <c r="H81" s="134"/>
      <c r="I81" s="134"/>
      <c r="J81" s="134"/>
      <c r="K81" s="134"/>
      <c r="L81" s="135"/>
    </row>
    <row r="82" spans="1:12">
      <c r="A82" s="138"/>
      <c r="B82" s="139"/>
      <c r="C82" s="139"/>
      <c r="D82" s="139"/>
      <c r="E82" s="139"/>
      <c r="F82" s="139"/>
      <c r="G82" s="139"/>
      <c r="H82" s="139"/>
      <c r="I82" s="139"/>
      <c r="J82" s="139"/>
      <c r="K82" s="139"/>
      <c r="L82" s="140"/>
    </row>
    <row r="83" spans="1:12">
      <c r="A83" s="460" t="s">
        <v>152</v>
      </c>
      <c r="B83" s="461"/>
      <c r="C83" s="461"/>
      <c r="D83" s="461"/>
      <c r="E83" s="461"/>
      <c r="F83" s="461"/>
      <c r="G83" s="461"/>
      <c r="H83" s="461"/>
      <c r="I83" s="461"/>
      <c r="J83" s="461"/>
      <c r="K83" s="461"/>
      <c r="L83" s="462"/>
    </row>
    <row r="84" spans="1:12" ht="15.75">
      <c r="A84" s="463" t="s">
        <v>153</v>
      </c>
      <c r="B84" s="464"/>
      <c r="C84" s="464"/>
      <c r="D84" s="464"/>
      <c r="E84" s="464"/>
      <c r="F84" s="464"/>
      <c r="G84" s="464"/>
      <c r="H84" s="464"/>
      <c r="I84" s="464"/>
      <c r="J84" s="465"/>
      <c r="K84" s="465"/>
      <c r="L84" s="466"/>
    </row>
    <row r="85" spans="1:12" ht="15">
      <c r="A85" s="141" t="s">
        <v>154</v>
      </c>
      <c r="B85" s="142"/>
      <c r="C85" s="143"/>
      <c r="D85" s="143"/>
      <c r="E85" s="143"/>
      <c r="F85" s="143"/>
      <c r="G85" s="143"/>
      <c r="H85" s="143"/>
      <c r="I85" s="240"/>
      <c r="J85" s="143"/>
      <c r="K85" s="143"/>
      <c r="L85" s="144"/>
    </row>
    <row r="86" spans="1:12">
      <c r="A86" s="145"/>
      <c r="B86" s="146" t="s">
        <v>155</v>
      </c>
      <c r="C86" s="146"/>
      <c r="D86" s="146"/>
      <c r="E86" s="146"/>
      <c r="F86" s="146"/>
      <c r="G86" s="143"/>
      <c r="H86" s="143"/>
      <c r="I86" s="240">
        <f>IF(I1="Tax Old Regime",'Tax Old Regime'!Q4,'Tax New Regime'!Q4)</f>
        <v>1090772</v>
      </c>
      <c r="J86" s="143"/>
      <c r="K86" s="147"/>
      <c r="L86" s="148"/>
    </row>
    <row r="87" spans="1:12">
      <c r="A87" s="145"/>
      <c r="B87" s="146" t="s">
        <v>156</v>
      </c>
      <c r="C87" s="146"/>
      <c r="D87" s="146"/>
      <c r="E87" s="146"/>
      <c r="F87" s="146"/>
      <c r="G87" s="143"/>
      <c r="H87" s="143"/>
      <c r="I87" s="243"/>
      <c r="J87" s="145"/>
      <c r="K87" s="147"/>
      <c r="L87" s="148"/>
    </row>
    <row r="88" spans="1:12">
      <c r="A88" s="145"/>
      <c r="B88" s="146" t="s">
        <v>157</v>
      </c>
      <c r="C88" s="146"/>
      <c r="D88" s="146"/>
      <c r="E88" s="146"/>
      <c r="F88" s="146"/>
      <c r="G88" s="143"/>
      <c r="H88" s="143"/>
      <c r="I88" s="243"/>
      <c r="J88" s="145"/>
      <c r="K88" s="147"/>
      <c r="L88" s="148"/>
    </row>
    <row r="89" spans="1:12">
      <c r="A89" s="145"/>
      <c r="B89" s="146" t="s">
        <v>158</v>
      </c>
      <c r="C89" s="146"/>
      <c r="D89" s="146"/>
      <c r="E89" s="146"/>
      <c r="F89" s="146"/>
      <c r="G89" s="143"/>
      <c r="H89" s="143"/>
      <c r="I89" s="243"/>
      <c r="J89" s="145"/>
      <c r="K89" s="147"/>
      <c r="L89" s="148"/>
    </row>
    <row r="90" spans="1:12">
      <c r="A90" s="145"/>
      <c r="B90" s="146" t="s">
        <v>157</v>
      </c>
      <c r="C90" s="146"/>
      <c r="D90" s="146"/>
      <c r="E90" s="146"/>
      <c r="F90" s="146"/>
      <c r="G90" s="143"/>
      <c r="H90" s="143"/>
      <c r="I90" s="243"/>
      <c r="J90" s="145"/>
      <c r="K90" s="147"/>
      <c r="L90" s="148"/>
    </row>
    <row r="91" spans="1:12">
      <c r="A91" s="145"/>
      <c r="B91" s="146" t="s">
        <v>159</v>
      </c>
      <c r="C91" s="146"/>
      <c r="D91" s="146"/>
      <c r="E91" s="146"/>
      <c r="F91" s="146"/>
      <c r="G91" s="143"/>
      <c r="H91" s="143"/>
      <c r="I91" s="241"/>
      <c r="J91" s="415">
        <f>I86+I87+I88+I89+I90</f>
        <v>1090772</v>
      </c>
      <c r="K91" s="408"/>
      <c r="L91" s="148"/>
    </row>
    <row r="92" spans="1:12">
      <c r="A92" s="145"/>
      <c r="B92" s="143"/>
      <c r="C92" s="143"/>
      <c r="D92" s="143"/>
      <c r="E92" s="143"/>
      <c r="F92" s="143"/>
      <c r="G92" s="143"/>
      <c r="H92" s="143"/>
      <c r="I92" s="241"/>
      <c r="J92" s="145"/>
      <c r="K92" s="147"/>
      <c r="L92" s="148"/>
    </row>
    <row r="93" spans="1:12">
      <c r="A93" s="141" t="s">
        <v>160</v>
      </c>
      <c r="B93" s="143"/>
      <c r="C93" s="143"/>
      <c r="D93" s="143"/>
      <c r="E93" s="143"/>
      <c r="F93" s="143"/>
      <c r="G93" s="143"/>
      <c r="H93" s="143"/>
      <c r="I93" s="241"/>
      <c r="J93" s="145"/>
      <c r="K93" s="147"/>
      <c r="L93" s="148"/>
    </row>
    <row r="94" spans="1:12">
      <c r="A94" s="449" t="s">
        <v>161</v>
      </c>
      <c r="B94" s="450"/>
      <c r="C94" s="450"/>
      <c r="D94" s="450"/>
      <c r="E94" s="450"/>
      <c r="F94" s="450"/>
      <c r="G94" s="450"/>
      <c r="H94" s="149"/>
      <c r="I94" s="240">
        <f>IF(I1="Tax Old Regime",'Tax Old Regime'!Q5,0)</f>
        <v>0</v>
      </c>
      <c r="J94" s="145"/>
      <c r="K94" s="147"/>
      <c r="L94" s="148"/>
    </row>
    <row r="95" spans="1:12">
      <c r="A95" s="449" t="s">
        <v>162</v>
      </c>
      <c r="B95" s="450"/>
      <c r="C95" s="450"/>
      <c r="D95" s="450"/>
      <c r="E95" s="450"/>
      <c r="F95" s="450"/>
      <c r="G95" s="450"/>
      <c r="H95" s="149"/>
      <c r="I95" s="243"/>
      <c r="J95" s="145"/>
      <c r="K95" s="147"/>
      <c r="L95" s="148"/>
    </row>
    <row r="96" spans="1:12">
      <c r="A96" s="141" t="s">
        <v>163</v>
      </c>
      <c r="B96" s="143"/>
      <c r="C96" s="143"/>
      <c r="D96" s="143"/>
      <c r="E96" s="143"/>
      <c r="F96" s="143"/>
      <c r="G96" s="143"/>
      <c r="H96" s="143"/>
      <c r="I96" s="241"/>
      <c r="J96" s="415">
        <f>J91-I94-I95</f>
        <v>1090772</v>
      </c>
      <c r="K96" s="408"/>
      <c r="L96" s="148"/>
    </row>
    <row r="97" spans="1:12">
      <c r="A97" s="145"/>
      <c r="B97" s="143"/>
      <c r="C97" s="143"/>
      <c r="D97" s="143"/>
      <c r="E97" s="143"/>
      <c r="F97" s="143"/>
      <c r="G97" s="143"/>
      <c r="H97" s="143"/>
      <c r="I97" s="241"/>
      <c r="J97" s="145"/>
      <c r="K97" s="147"/>
      <c r="L97" s="148"/>
    </row>
    <row r="98" spans="1:12">
      <c r="A98" s="141" t="s">
        <v>164</v>
      </c>
      <c r="B98" s="143"/>
      <c r="C98" s="143"/>
      <c r="D98" s="143"/>
      <c r="E98" s="143"/>
      <c r="F98" s="143"/>
      <c r="G98" s="143"/>
      <c r="H98" s="143"/>
      <c r="I98" s="241"/>
      <c r="J98" s="145"/>
      <c r="K98" s="147"/>
      <c r="L98" s="148"/>
    </row>
    <row r="99" spans="1:12">
      <c r="A99" s="145"/>
      <c r="B99" s="146" t="s">
        <v>165</v>
      </c>
      <c r="C99" s="146"/>
      <c r="D99" s="146"/>
      <c r="E99" s="146"/>
      <c r="F99" s="146" t="s">
        <v>166</v>
      </c>
      <c r="G99" s="244">
        <v>50000</v>
      </c>
      <c r="H99" s="150"/>
      <c r="I99" s="241"/>
      <c r="J99" s="145"/>
      <c r="K99" s="147"/>
      <c r="L99" s="148"/>
    </row>
    <row r="100" spans="1:12">
      <c r="A100" s="145"/>
      <c r="B100" s="146" t="s">
        <v>167</v>
      </c>
      <c r="C100" s="146"/>
      <c r="D100" s="146"/>
      <c r="E100" s="146"/>
      <c r="F100" s="146" t="s">
        <v>166</v>
      </c>
      <c r="G100" s="245">
        <v>0</v>
      </c>
      <c r="H100" s="146"/>
      <c r="I100" s="241"/>
      <c r="J100" s="145"/>
      <c r="K100" s="147"/>
      <c r="L100" s="148"/>
    </row>
    <row r="101" spans="1:12">
      <c r="A101" s="145"/>
      <c r="B101" s="146" t="s">
        <v>168</v>
      </c>
      <c r="C101" s="146"/>
      <c r="D101" s="146"/>
      <c r="E101" s="146"/>
      <c r="F101" s="146" t="s">
        <v>166</v>
      </c>
      <c r="G101" s="245">
        <v>0</v>
      </c>
      <c r="H101" s="146"/>
      <c r="I101" s="241"/>
      <c r="J101" s="145"/>
      <c r="K101" s="147"/>
      <c r="L101" s="148"/>
    </row>
    <row r="102" spans="1:12">
      <c r="A102" s="141" t="s">
        <v>169</v>
      </c>
      <c r="B102" s="143"/>
      <c r="C102" s="143"/>
      <c r="D102" s="143"/>
      <c r="E102" s="143"/>
      <c r="F102" s="143"/>
      <c r="G102" s="143"/>
      <c r="H102" s="143"/>
      <c r="I102" s="242">
        <f>G99+G100+G101</f>
        <v>50000</v>
      </c>
      <c r="J102" s="145"/>
      <c r="K102" s="147"/>
      <c r="L102" s="148"/>
    </row>
    <row r="103" spans="1:12">
      <c r="A103" s="145"/>
      <c r="B103" s="143"/>
      <c r="C103" s="143"/>
      <c r="D103" s="143"/>
      <c r="E103" s="143"/>
      <c r="F103" s="143"/>
      <c r="G103" s="143"/>
      <c r="H103" s="143"/>
      <c r="I103" s="241"/>
      <c r="J103" s="145"/>
      <c r="K103" s="147"/>
      <c r="L103" s="148"/>
    </row>
    <row r="104" spans="1:12">
      <c r="A104" s="141" t="s">
        <v>170</v>
      </c>
      <c r="B104" s="143"/>
      <c r="C104" s="143"/>
      <c r="D104" s="143"/>
      <c r="E104" s="143"/>
      <c r="F104" s="143"/>
      <c r="G104" s="143"/>
      <c r="H104" s="143"/>
      <c r="I104" s="241"/>
      <c r="J104" s="145"/>
      <c r="K104" s="147"/>
      <c r="L104" s="152">
        <f>IF(AND((J96&gt;50000)),(J96-I102),0)</f>
        <v>1040772</v>
      </c>
    </row>
    <row r="105" spans="1:12">
      <c r="A105" s="141"/>
      <c r="B105" s="143"/>
      <c r="C105" s="143"/>
      <c r="D105" s="143"/>
      <c r="E105" s="143"/>
      <c r="F105" s="143"/>
      <c r="G105" s="143"/>
      <c r="H105" s="143"/>
      <c r="I105" s="241"/>
      <c r="J105" s="145"/>
      <c r="K105" s="147"/>
      <c r="L105" s="246"/>
    </row>
    <row r="106" spans="1:12">
      <c r="A106" s="141" t="s">
        <v>171</v>
      </c>
      <c r="B106" s="143"/>
      <c r="C106" s="143"/>
      <c r="D106" s="143"/>
      <c r="E106" s="143"/>
      <c r="F106" s="143"/>
      <c r="G106" s="143"/>
      <c r="H106" s="143"/>
      <c r="I106" s="241"/>
      <c r="J106" s="145"/>
      <c r="K106" s="147"/>
      <c r="L106" s="246"/>
    </row>
    <row r="107" spans="1:12">
      <c r="A107" s="141"/>
      <c r="B107" s="143" t="s">
        <v>172</v>
      </c>
      <c r="C107" s="143"/>
      <c r="D107" s="143"/>
      <c r="E107" s="143"/>
      <c r="F107" s="143"/>
      <c r="G107" s="143"/>
      <c r="H107" s="143"/>
      <c r="I107" s="241"/>
      <c r="J107" s="145"/>
      <c r="K107" s="147"/>
      <c r="L107" s="246">
        <f>IF(I1="Tax Old Regime",'Other Deduction'!B9,0)</f>
        <v>0</v>
      </c>
    </row>
    <row r="108" spans="1:12">
      <c r="A108" s="141"/>
      <c r="B108" s="143"/>
      <c r="C108" s="143"/>
      <c r="D108" s="143"/>
      <c r="E108" s="143"/>
      <c r="F108" s="143"/>
      <c r="G108" s="143"/>
      <c r="H108" s="143"/>
      <c r="I108" s="241"/>
      <c r="J108" s="145"/>
      <c r="K108" s="147"/>
      <c r="L108" s="246"/>
    </row>
    <row r="109" spans="1:12">
      <c r="A109" s="141" t="s">
        <v>173</v>
      </c>
      <c r="B109" s="143"/>
      <c r="C109" s="143"/>
      <c r="D109" s="143"/>
      <c r="E109" s="143"/>
      <c r="F109" s="143"/>
      <c r="G109" s="143"/>
      <c r="H109" s="143"/>
      <c r="I109" s="145"/>
      <c r="J109" s="151"/>
      <c r="K109" s="147"/>
      <c r="L109" s="153">
        <f>L104+L106-L107</f>
        <v>1040772</v>
      </c>
    </row>
    <row r="110" spans="1:12">
      <c r="A110" s="154"/>
      <c r="B110" s="155"/>
      <c r="C110" s="155"/>
      <c r="D110" s="155"/>
      <c r="E110" s="155"/>
      <c r="F110" s="155"/>
      <c r="G110" s="451" t="s">
        <v>174</v>
      </c>
      <c r="H110" s="452"/>
      <c r="I110" s="451" t="s">
        <v>175</v>
      </c>
      <c r="J110" s="452"/>
      <c r="K110" s="455" t="s">
        <v>176</v>
      </c>
      <c r="L110" s="455"/>
    </row>
    <row r="111" spans="1:12">
      <c r="A111" s="428" t="s">
        <v>177</v>
      </c>
      <c r="B111" s="456"/>
      <c r="C111" s="456"/>
      <c r="D111" s="456"/>
      <c r="E111" s="143"/>
      <c r="F111" s="147"/>
      <c r="G111" s="453"/>
      <c r="H111" s="454"/>
      <c r="I111" s="453"/>
      <c r="J111" s="454"/>
      <c r="K111" s="455"/>
      <c r="L111" s="455"/>
    </row>
    <row r="112" spans="1:12">
      <c r="A112" s="156" t="s">
        <v>178</v>
      </c>
      <c r="B112" s="149" t="s">
        <v>179</v>
      </c>
      <c r="C112" s="149"/>
      <c r="D112" s="143"/>
      <c r="E112" s="143"/>
      <c r="F112" s="157"/>
      <c r="G112" s="453"/>
      <c r="H112" s="454"/>
      <c r="I112" s="453"/>
      <c r="J112" s="454"/>
      <c r="K112" s="455"/>
      <c r="L112" s="455"/>
    </row>
    <row r="113" spans="1:12">
      <c r="A113" s="158" t="s">
        <v>180</v>
      </c>
      <c r="B113" s="143" t="s">
        <v>181</v>
      </c>
      <c r="C113" s="143"/>
      <c r="D113" s="143"/>
      <c r="E113" s="143"/>
      <c r="F113" s="147"/>
      <c r="G113" s="415"/>
      <c r="H113" s="408"/>
      <c r="I113" s="415"/>
      <c r="J113" s="408"/>
      <c r="K113" s="415"/>
      <c r="L113" s="408"/>
    </row>
    <row r="114" spans="1:12">
      <c r="A114" s="158"/>
      <c r="B114" s="159" t="s">
        <v>20</v>
      </c>
      <c r="C114" s="448" t="s">
        <v>182</v>
      </c>
      <c r="D114" s="448"/>
      <c r="E114" s="448"/>
      <c r="F114" s="160" t="s">
        <v>166</v>
      </c>
      <c r="G114" s="445">
        <f>'GA-55'!O31</f>
        <v>47084</v>
      </c>
      <c r="H114" s="445"/>
      <c r="I114" s="445">
        <f t="shared" ref="I114:I121" si="0">G114</f>
        <v>47084</v>
      </c>
      <c r="J114" s="445"/>
      <c r="K114" s="445">
        <f t="shared" ref="K114:K121" si="1">I114</f>
        <v>47084</v>
      </c>
      <c r="L114" s="445"/>
    </row>
    <row r="115" spans="1:12">
      <c r="A115" s="158"/>
      <c r="B115" s="159" t="s">
        <v>22</v>
      </c>
      <c r="C115" s="448" t="s">
        <v>183</v>
      </c>
      <c r="D115" s="448"/>
      <c r="E115" s="448"/>
      <c r="F115" s="160" t="s">
        <v>166</v>
      </c>
      <c r="G115" s="445">
        <f>'Tax Old Regime'!I21</f>
        <v>36000</v>
      </c>
      <c r="H115" s="445"/>
      <c r="I115" s="445">
        <f t="shared" si="0"/>
        <v>36000</v>
      </c>
      <c r="J115" s="445"/>
      <c r="K115" s="445">
        <f t="shared" si="1"/>
        <v>36000</v>
      </c>
      <c r="L115" s="445"/>
    </row>
    <row r="116" spans="1:12">
      <c r="A116" s="158"/>
      <c r="B116" s="159" t="s">
        <v>24</v>
      </c>
      <c r="C116" s="448" t="s">
        <v>6</v>
      </c>
      <c r="D116" s="448"/>
      <c r="E116" s="448"/>
      <c r="F116" s="160" t="s">
        <v>166</v>
      </c>
      <c r="G116" s="445"/>
      <c r="H116" s="445"/>
      <c r="I116" s="445">
        <f t="shared" si="0"/>
        <v>0</v>
      </c>
      <c r="J116" s="445"/>
      <c r="K116" s="445">
        <f t="shared" si="1"/>
        <v>0</v>
      </c>
      <c r="L116" s="445"/>
    </row>
    <row r="117" spans="1:12">
      <c r="A117" s="158"/>
      <c r="B117" s="159" t="s">
        <v>26</v>
      </c>
      <c r="C117" s="448" t="s">
        <v>184</v>
      </c>
      <c r="D117" s="448"/>
      <c r="E117" s="448"/>
      <c r="F117" s="160" t="s">
        <v>166</v>
      </c>
      <c r="G117" s="445">
        <f>'Tax Old Regime'!I27</f>
        <v>700</v>
      </c>
      <c r="H117" s="445"/>
      <c r="I117" s="445">
        <f t="shared" si="0"/>
        <v>700</v>
      </c>
      <c r="J117" s="445"/>
      <c r="K117" s="445">
        <f t="shared" si="1"/>
        <v>700</v>
      </c>
      <c r="L117" s="445"/>
    </row>
    <row r="118" spans="1:12">
      <c r="A118" s="158"/>
      <c r="B118" s="159" t="s">
        <v>30</v>
      </c>
      <c r="C118" s="161" t="s">
        <v>185</v>
      </c>
      <c r="D118" s="161"/>
      <c r="E118" s="161"/>
      <c r="F118" s="160" t="s">
        <v>166</v>
      </c>
      <c r="G118" s="445">
        <f>'Tax Old Regime'!I29</f>
        <v>0</v>
      </c>
      <c r="H118" s="445"/>
      <c r="I118" s="445">
        <f t="shared" si="0"/>
        <v>0</v>
      </c>
      <c r="J118" s="445"/>
      <c r="K118" s="446">
        <f t="shared" si="1"/>
        <v>0</v>
      </c>
      <c r="L118" s="447"/>
    </row>
    <row r="119" spans="1:12">
      <c r="A119" s="158"/>
      <c r="B119" s="159" t="s">
        <v>32</v>
      </c>
      <c r="C119" s="448" t="s">
        <v>186</v>
      </c>
      <c r="D119" s="448"/>
      <c r="E119" s="448"/>
      <c r="F119" s="160" t="s">
        <v>166</v>
      </c>
      <c r="G119" s="445">
        <f>'Tax Old Regime'!I23+'Tax Old Regime'!I24+'Tax Old Regime'!I25+'Tax Old Regime'!I28+'Tax Old Regime'!O22+'Tax Old Regime'!O23+'Tax Old Regime'!O24+'Tax Old Regime'!O25+'Tax Old Regime'!O26+'Tax Old Regime'!O27+'Tax Old Regime'!O28+'Tax Old Regime'!O29+'Tax Old Regime'!O30</f>
        <v>83784</v>
      </c>
      <c r="H119" s="445"/>
      <c r="I119" s="445">
        <f t="shared" si="0"/>
        <v>83784</v>
      </c>
      <c r="J119" s="445"/>
      <c r="K119" s="445">
        <f t="shared" si="1"/>
        <v>83784</v>
      </c>
      <c r="L119" s="445"/>
    </row>
    <row r="120" spans="1:12">
      <c r="A120" s="158" t="s">
        <v>187</v>
      </c>
      <c r="B120" s="159" t="s">
        <v>188</v>
      </c>
      <c r="C120" s="159"/>
      <c r="D120" s="159"/>
      <c r="E120" s="159"/>
      <c r="F120" s="160" t="s">
        <v>166</v>
      </c>
      <c r="G120" s="445"/>
      <c r="H120" s="445"/>
      <c r="I120" s="445">
        <f t="shared" si="0"/>
        <v>0</v>
      </c>
      <c r="J120" s="445"/>
      <c r="K120" s="445">
        <f t="shared" si="1"/>
        <v>0</v>
      </c>
      <c r="L120" s="445"/>
    </row>
    <row r="121" spans="1:12">
      <c r="A121" s="158" t="s">
        <v>189</v>
      </c>
      <c r="B121" s="159" t="s">
        <v>190</v>
      </c>
      <c r="C121" s="159"/>
      <c r="D121" s="159"/>
      <c r="E121" s="159"/>
      <c r="F121" s="160" t="s">
        <v>166</v>
      </c>
      <c r="G121" s="445"/>
      <c r="H121" s="445"/>
      <c r="I121" s="445">
        <f t="shared" si="0"/>
        <v>0</v>
      </c>
      <c r="J121" s="445"/>
      <c r="K121" s="445">
        <f t="shared" si="1"/>
        <v>0</v>
      </c>
      <c r="L121" s="445"/>
    </row>
    <row r="122" spans="1:12" ht="20.25" customHeight="1" thickBot="1">
      <c r="A122" s="141" t="s">
        <v>191</v>
      </c>
      <c r="B122" s="159"/>
      <c r="C122" s="159"/>
      <c r="D122" s="159"/>
      <c r="E122" s="159"/>
      <c r="F122" s="159"/>
      <c r="G122" s="440">
        <f>SUM(G114:G121)</f>
        <v>167568</v>
      </c>
      <c r="H122" s="441"/>
      <c r="I122" s="440">
        <f>SUM(I114:I121)</f>
        <v>167568</v>
      </c>
      <c r="J122" s="442"/>
      <c r="K122" s="443">
        <f>IF(SUM(K114:L119)&gt;150000,150000,SUM(K114:L119))</f>
        <v>150000</v>
      </c>
      <c r="L122" s="444"/>
    </row>
    <row r="123" spans="1:12">
      <c r="A123" s="141" t="s">
        <v>192</v>
      </c>
      <c r="B123" s="143"/>
      <c r="C123" s="143"/>
      <c r="D123" s="143"/>
      <c r="E123" s="143"/>
      <c r="F123" s="147"/>
      <c r="G123" s="162"/>
      <c r="H123" s="163"/>
      <c r="I123" s="164"/>
      <c r="J123" s="163"/>
      <c r="K123" s="164"/>
      <c r="L123" s="147"/>
    </row>
    <row r="124" spans="1:12">
      <c r="A124" s="141"/>
      <c r="B124" s="143"/>
      <c r="C124" s="143"/>
      <c r="D124" s="143"/>
      <c r="E124" s="143"/>
      <c r="F124" s="147"/>
      <c r="G124" s="162"/>
      <c r="H124" s="163"/>
      <c r="I124" s="164"/>
      <c r="J124" s="163"/>
      <c r="K124" s="164"/>
      <c r="L124" s="147"/>
    </row>
    <row r="125" spans="1:12">
      <c r="A125" s="165" t="s">
        <v>193</v>
      </c>
      <c r="B125" s="166" t="s">
        <v>194</v>
      </c>
      <c r="C125" s="166"/>
      <c r="D125" s="166"/>
      <c r="E125" s="166"/>
      <c r="F125" s="167" t="s">
        <v>166</v>
      </c>
      <c r="G125" s="434">
        <v>0</v>
      </c>
      <c r="H125" s="434"/>
      <c r="I125" s="434">
        <f>G125</f>
        <v>0</v>
      </c>
      <c r="J125" s="434"/>
      <c r="K125" s="434">
        <f>I125</f>
        <v>0</v>
      </c>
      <c r="L125" s="434"/>
    </row>
    <row r="126" spans="1:12">
      <c r="A126" s="165" t="s">
        <v>195</v>
      </c>
      <c r="B126" s="166" t="s">
        <v>196</v>
      </c>
      <c r="C126" s="166"/>
      <c r="D126" s="166"/>
      <c r="E126" s="166"/>
      <c r="F126" s="167" t="s">
        <v>166</v>
      </c>
      <c r="G126" s="434">
        <f>IF(I1="Tax Old Regime",'Other Deduction'!E7,0)</f>
        <v>0</v>
      </c>
      <c r="H126" s="434"/>
      <c r="I126" s="434">
        <f>G126</f>
        <v>0</v>
      </c>
      <c r="J126" s="434"/>
      <c r="K126" s="434">
        <f>I126</f>
        <v>0</v>
      </c>
      <c r="L126" s="434"/>
    </row>
    <row r="127" spans="1:12">
      <c r="A127" s="168"/>
      <c r="B127" s="169"/>
      <c r="C127" s="169"/>
      <c r="D127" s="169"/>
      <c r="E127" s="169"/>
      <c r="F127" s="169"/>
      <c r="G127" s="118"/>
      <c r="H127" s="118"/>
      <c r="I127" s="118"/>
      <c r="J127" s="118"/>
      <c r="K127" s="170"/>
      <c r="L127" s="163"/>
    </row>
    <row r="128" spans="1:12">
      <c r="A128" s="171" t="s">
        <v>197</v>
      </c>
      <c r="B128" s="143" t="s">
        <v>198</v>
      </c>
      <c r="C128" s="143"/>
      <c r="D128" s="143"/>
      <c r="E128" s="143"/>
      <c r="F128" s="143"/>
      <c r="G128" s="162"/>
      <c r="H128" s="164"/>
      <c r="I128" s="162"/>
      <c r="J128" s="172"/>
      <c r="K128" s="164"/>
      <c r="L128" s="172"/>
    </row>
    <row r="129" spans="1:12" ht="20.45" customHeight="1">
      <c r="A129" s="156"/>
      <c r="B129" s="143"/>
      <c r="C129" s="143"/>
      <c r="D129" s="143"/>
      <c r="E129" s="143"/>
      <c r="F129" s="143"/>
      <c r="G129" s="173" t="s">
        <v>174</v>
      </c>
      <c r="H129" s="174"/>
      <c r="I129" s="435" t="s">
        <v>175</v>
      </c>
      <c r="J129" s="436"/>
      <c r="K129" s="435" t="s">
        <v>176</v>
      </c>
      <c r="L129" s="436"/>
    </row>
    <row r="130" spans="1:12" ht="15">
      <c r="A130" s="156"/>
      <c r="B130" s="143" t="s">
        <v>20</v>
      </c>
      <c r="C130" s="437" t="s">
        <v>262</v>
      </c>
      <c r="D130" s="437"/>
      <c r="E130" s="437"/>
      <c r="F130" s="159" t="s">
        <v>166</v>
      </c>
      <c r="G130" s="438"/>
      <c r="H130" s="439"/>
      <c r="I130" s="433">
        <f>G130</f>
        <v>0</v>
      </c>
      <c r="J130" s="414"/>
      <c r="K130" s="433">
        <f>I130</f>
        <v>0</v>
      </c>
      <c r="L130" s="414"/>
    </row>
    <row r="131" spans="1:12">
      <c r="A131" s="156"/>
      <c r="B131" s="143" t="s">
        <v>22</v>
      </c>
      <c r="C131" s="430"/>
      <c r="D131" s="430"/>
      <c r="E131" s="430"/>
      <c r="F131" s="159" t="s">
        <v>166</v>
      </c>
      <c r="G131" s="431"/>
      <c r="H131" s="432"/>
      <c r="I131" s="433">
        <f>G131</f>
        <v>0</v>
      </c>
      <c r="J131" s="414"/>
      <c r="K131" s="433">
        <f>I131</f>
        <v>0</v>
      </c>
      <c r="L131" s="414"/>
    </row>
    <row r="132" spans="1:12">
      <c r="A132" s="156"/>
      <c r="B132" s="143" t="s">
        <v>24</v>
      </c>
      <c r="C132" s="430"/>
      <c r="D132" s="430"/>
      <c r="E132" s="430"/>
      <c r="F132" s="159" t="s">
        <v>166</v>
      </c>
      <c r="G132" s="431"/>
      <c r="H132" s="432"/>
      <c r="I132" s="433">
        <f>G132</f>
        <v>0</v>
      </c>
      <c r="J132" s="414"/>
      <c r="K132" s="433">
        <f>I132</f>
        <v>0</v>
      </c>
      <c r="L132" s="414"/>
    </row>
    <row r="133" spans="1:12">
      <c r="A133" s="175" t="s">
        <v>199</v>
      </c>
      <c r="B133" s="143"/>
      <c r="C133" s="143"/>
      <c r="D133" s="143"/>
      <c r="E133" s="143"/>
      <c r="F133" s="147"/>
      <c r="G133" s="415"/>
      <c r="H133" s="408"/>
      <c r="I133" s="415"/>
      <c r="J133" s="408"/>
      <c r="K133" s="415">
        <f>IF(I1="Tax Old Regime",K122+K125+K126+K130+K131+K132,0)</f>
        <v>0</v>
      </c>
      <c r="L133" s="408">
        <v>0</v>
      </c>
    </row>
    <row r="134" spans="1:12">
      <c r="A134" s="141"/>
      <c r="B134" s="143"/>
      <c r="C134" s="143"/>
      <c r="D134" s="143"/>
      <c r="E134" s="143"/>
      <c r="F134" s="147"/>
      <c r="G134" s="145"/>
      <c r="H134" s="147"/>
      <c r="I134" s="145"/>
      <c r="J134" s="147"/>
      <c r="K134" s="415"/>
      <c r="L134" s="408"/>
    </row>
    <row r="135" spans="1:12" ht="15.75">
      <c r="A135" s="141" t="s">
        <v>200</v>
      </c>
      <c r="B135" s="143"/>
      <c r="C135" s="143"/>
      <c r="D135" s="143"/>
      <c r="E135" s="143"/>
      <c r="F135" s="147"/>
      <c r="G135" s="145"/>
      <c r="H135" s="147"/>
      <c r="I135" s="145"/>
      <c r="J135" s="147"/>
      <c r="K135" s="426">
        <f>IF(I1="Tax Old Regime",'Tax Old Regime'!Q47,'Tax New Regime'!Q47)</f>
        <v>1015770</v>
      </c>
      <c r="L135" s="427"/>
    </row>
    <row r="136" spans="1:12">
      <c r="A136" s="141"/>
      <c r="B136" s="143"/>
      <c r="C136" s="143"/>
      <c r="D136" s="143"/>
      <c r="E136" s="143"/>
      <c r="F136" s="147"/>
      <c r="G136" s="145"/>
      <c r="H136" s="147"/>
      <c r="I136" s="145"/>
      <c r="J136" s="147"/>
      <c r="K136" s="143"/>
      <c r="L136" s="163"/>
    </row>
    <row r="137" spans="1:12" ht="14.45" customHeight="1">
      <c r="A137" s="176" t="s">
        <v>201</v>
      </c>
      <c r="B137" s="143"/>
      <c r="C137" s="143"/>
      <c r="D137" s="143"/>
      <c r="E137" s="143"/>
      <c r="F137" s="147"/>
      <c r="G137" s="145"/>
      <c r="H137" s="147"/>
      <c r="I137" s="145"/>
      <c r="J137" s="147"/>
      <c r="K137" s="428">
        <f>IF(I1="Old Regime",'Tax Old Regime'!Q54,'Tax New Regime'!Q57)</f>
        <v>41577</v>
      </c>
      <c r="L137" s="429"/>
    </row>
    <row r="138" spans="1:12">
      <c r="A138" s="177" t="s">
        <v>202</v>
      </c>
      <c r="B138" s="143"/>
      <c r="C138" s="143"/>
      <c r="D138" s="149"/>
      <c r="E138" s="149"/>
      <c r="F138" s="149"/>
      <c r="G138" s="178"/>
      <c r="H138" s="179"/>
      <c r="I138" s="143"/>
      <c r="J138" s="147"/>
      <c r="K138" s="415">
        <f>IF(I1="Old Regime",'Tax Old Regime'!Q55,'Tax New Regime'!Q58)</f>
        <v>41577</v>
      </c>
      <c r="L138" s="408"/>
    </row>
    <row r="139" spans="1:12">
      <c r="A139" s="141" t="s">
        <v>203</v>
      </c>
      <c r="B139" s="143"/>
      <c r="C139" s="143"/>
      <c r="D139" s="143"/>
      <c r="E139" s="143"/>
      <c r="F139" s="143"/>
      <c r="G139" s="145"/>
      <c r="H139" s="147"/>
      <c r="I139" s="143"/>
      <c r="J139" s="147"/>
      <c r="K139" s="415">
        <f>K137-K138</f>
        <v>0</v>
      </c>
      <c r="L139" s="408"/>
    </row>
    <row r="140" spans="1:12">
      <c r="A140" s="141" t="s">
        <v>204</v>
      </c>
      <c r="B140" s="143"/>
      <c r="C140" s="143"/>
      <c r="D140" s="143"/>
      <c r="E140" s="143"/>
      <c r="F140" s="143"/>
      <c r="G140" s="145"/>
      <c r="H140" s="147"/>
      <c r="I140" s="143"/>
      <c r="J140" s="147"/>
      <c r="K140" s="415">
        <f>IF(I1="Old Regime",'Tax Old Regime'!Q57,'Tax New Regime'!Q60)</f>
        <v>0</v>
      </c>
      <c r="L140" s="408"/>
    </row>
    <row r="141" spans="1:12">
      <c r="A141" s="141" t="s">
        <v>205</v>
      </c>
      <c r="B141" s="143"/>
      <c r="C141" s="143"/>
      <c r="D141" s="143"/>
      <c r="E141" s="143"/>
      <c r="F141" s="143"/>
      <c r="G141" s="145"/>
      <c r="H141" s="147"/>
      <c r="I141" s="143"/>
      <c r="J141" s="147"/>
      <c r="K141" s="415">
        <f>IF(I1="Old Regime",'Tax Old Regime'!Q58,'Tax New Regime'!Q61)</f>
        <v>0</v>
      </c>
      <c r="L141" s="408"/>
    </row>
    <row r="142" spans="1:12">
      <c r="A142" s="141" t="s">
        <v>206</v>
      </c>
      <c r="B142" s="143"/>
      <c r="C142" s="143"/>
      <c r="D142" s="143"/>
      <c r="E142" s="143"/>
      <c r="F142" s="143"/>
      <c r="G142" s="145"/>
      <c r="H142" s="147"/>
      <c r="I142" s="143"/>
      <c r="J142" s="147"/>
      <c r="K142" s="415">
        <f>'Other Deduction'!E17</f>
        <v>0</v>
      </c>
      <c r="L142" s="408"/>
    </row>
    <row r="143" spans="1:12">
      <c r="A143" s="141" t="s">
        <v>207</v>
      </c>
      <c r="B143" s="143"/>
      <c r="C143" s="143"/>
      <c r="D143" s="143"/>
      <c r="E143" s="143"/>
      <c r="F143" s="143"/>
      <c r="G143" s="145"/>
      <c r="H143" s="147"/>
      <c r="I143" s="143"/>
      <c r="J143" s="147"/>
      <c r="K143" s="415">
        <f>K141-K142</f>
        <v>0</v>
      </c>
      <c r="L143" s="408"/>
    </row>
    <row r="144" spans="1:12">
      <c r="A144" s="141" t="s">
        <v>208</v>
      </c>
      <c r="B144" s="143"/>
      <c r="C144" s="143"/>
      <c r="D144" s="143"/>
      <c r="E144" s="143"/>
      <c r="F144" s="143"/>
      <c r="G144" s="145"/>
      <c r="H144" s="147"/>
      <c r="I144" s="143"/>
      <c r="J144" s="147"/>
      <c r="K144" s="415">
        <f>H23+B62</f>
        <v>0</v>
      </c>
      <c r="L144" s="408"/>
    </row>
    <row r="145" spans="1:12">
      <c r="A145" s="141" t="s">
        <v>209</v>
      </c>
      <c r="B145" s="143"/>
      <c r="C145" s="143"/>
      <c r="D145" s="143"/>
      <c r="E145" s="149"/>
      <c r="F145" s="149"/>
      <c r="G145" s="178"/>
      <c r="H145" s="179"/>
      <c r="I145" s="143"/>
      <c r="J145" s="167"/>
      <c r="K145" s="416">
        <f>K143-K144</f>
        <v>0</v>
      </c>
      <c r="L145" s="417"/>
    </row>
    <row r="146" spans="1:12">
      <c r="A146" s="418" t="s">
        <v>131</v>
      </c>
      <c r="B146" s="419"/>
      <c r="C146" s="419"/>
      <c r="D146" s="419"/>
      <c r="E146" s="419"/>
      <c r="F146" s="419"/>
      <c r="G146" s="419"/>
      <c r="H146" s="419"/>
      <c r="I146" s="419"/>
      <c r="J146" s="419"/>
      <c r="K146" s="419"/>
      <c r="L146" s="420"/>
    </row>
    <row r="147" spans="1:12">
      <c r="A147" s="123" t="s">
        <v>132</v>
      </c>
      <c r="B147" s="421" t="str">
        <f>B64</f>
        <v>RAJENDRA KUMAR CHITTORA</v>
      </c>
      <c r="C147" s="421"/>
      <c r="D147" s="421"/>
      <c r="E147" s="86" t="s">
        <v>133</v>
      </c>
      <c r="F147" s="124"/>
      <c r="G147" s="422" t="str">
        <f>G64</f>
        <v>BHANWAR LAL</v>
      </c>
      <c r="H147" s="423"/>
      <c r="I147" s="423"/>
      <c r="J147" s="86" t="s">
        <v>134</v>
      </c>
      <c r="K147" s="124"/>
      <c r="L147" s="125"/>
    </row>
    <row r="148" spans="1:12">
      <c r="A148" s="424" t="str">
        <f>A65</f>
        <v>PRINCIPAL</v>
      </c>
      <c r="B148" s="425"/>
      <c r="C148" s="425"/>
      <c r="D148" s="89" t="s">
        <v>210</v>
      </c>
      <c r="E148" s="89"/>
      <c r="F148" s="126"/>
      <c r="G148" s="126"/>
      <c r="H148" s="126"/>
      <c r="I148" s="89"/>
      <c r="J148" s="180"/>
      <c r="K148" s="126"/>
      <c r="L148" s="181"/>
    </row>
    <row r="149" spans="1:12">
      <c r="A149" s="404" t="s">
        <v>211</v>
      </c>
      <c r="B149" s="405"/>
      <c r="C149" s="405"/>
      <c r="D149" s="405"/>
      <c r="E149" s="405"/>
      <c r="F149" s="405"/>
      <c r="G149" s="405"/>
      <c r="H149" s="405"/>
      <c r="I149" s="405"/>
      <c r="J149" s="405"/>
      <c r="K149" s="405"/>
      <c r="L149" s="406"/>
    </row>
    <row r="150" spans="1:12">
      <c r="A150" s="182"/>
      <c r="B150" s="183"/>
      <c r="C150" s="183"/>
      <c r="D150" s="183"/>
      <c r="E150" s="183"/>
      <c r="F150" s="183"/>
      <c r="G150" s="183"/>
      <c r="H150" s="183"/>
      <c r="I150" s="183"/>
      <c r="J150" s="183"/>
      <c r="K150" s="183"/>
      <c r="L150" s="184"/>
    </row>
    <row r="151" spans="1:12">
      <c r="A151" s="145"/>
      <c r="B151" s="143"/>
      <c r="C151" s="143"/>
      <c r="D151" s="143"/>
      <c r="E151" s="143"/>
      <c r="F151" s="143"/>
      <c r="G151" s="143"/>
      <c r="H151" s="143"/>
      <c r="I151" s="143"/>
      <c r="J151" s="143"/>
      <c r="K151" s="143"/>
      <c r="L151" s="147"/>
    </row>
    <row r="152" spans="1:12">
      <c r="A152" s="145"/>
      <c r="B152" s="143"/>
      <c r="C152" s="143"/>
      <c r="D152" s="143"/>
      <c r="E152" s="143"/>
      <c r="F152" s="143"/>
      <c r="G152" s="143"/>
      <c r="H152" s="143"/>
      <c r="I152" s="143"/>
      <c r="J152" s="143"/>
      <c r="K152" s="143"/>
      <c r="L152" s="147"/>
    </row>
    <row r="153" spans="1:12">
      <c r="A153" s="145"/>
      <c r="B153" s="143"/>
      <c r="C153" s="143"/>
      <c r="D153" s="143"/>
      <c r="E153" s="143"/>
      <c r="F153" s="143"/>
      <c r="G153" s="89"/>
      <c r="H153" s="89"/>
      <c r="I153" s="176"/>
      <c r="J153" s="143"/>
      <c r="K153" s="143"/>
      <c r="L153" s="147"/>
    </row>
    <row r="154" spans="1:12">
      <c r="A154" s="145"/>
      <c r="B154" s="143"/>
      <c r="C154" s="143"/>
      <c r="D154" s="143"/>
      <c r="E154" s="143"/>
      <c r="F154" s="407" t="s">
        <v>212</v>
      </c>
      <c r="G154" s="407"/>
      <c r="H154" s="407"/>
      <c r="I154" s="407"/>
      <c r="J154" s="407"/>
      <c r="K154" s="407"/>
      <c r="L154" s="408"/>
    </row>
    <row r="155" spans="1:12">
      <c r="A155" s="145"/>
      <c r="B155" s="143"/>
      <c r="C155" s="143"/>
      <c r="D155" s="143"/>
      <c r="E155" s="143"/>
      <c r="F155" s="409"/>
      <c r="G155" s="409"/>
      <c r="H155" s="409"/>
      <c r="I155" s="409"/>
      <c r="J155" s="409"/>
      <c r="K155" s="409"/>
      <c r="L155" s="410"/>
    </row>
    <row r="156" spans="1:12">
      <c r="A156" s="411" t="s">
        <v>213</v>
      </c>
      <c r="B156" s="412"/>
      <c r="C156" s="412"/>
      <c r="D156" s="159"/>
      <c r="E156" s="159"/>
      <c r="F156" s="185" t="s">
        <v>214</v>
      </c>
      <c r="G156" s="185"/>
      <c r="H156" s="413" t="str">
        <f>A8</f>
        <v>RAJENDRA KUMAR CHITTORA</v>
      </c>
      <c r="I156" s="413"/>
      <c r="J156" s="413"/>
      <c r="K156" s="413"/>
      <c r="L156" s="414"/>
    </row>
    <row r="157" spans="1:12">
      <c r="A157" s="411" t="s">
        <v>215</v>
      </c>
      <c r="B157" s="412"/>
      <c r="C157" s="412"/>
      <c r="D157" s="159"/>
      <c r="E157" s="159"/>
      <c r="F157" s="185" t="s">
        <v>216</v>
      </c>
      <c r="G157" s="185"/>
      <c r="H157" s="413" t="str">
        <f>A9</f>
        <v>PRINCIPAL</v>
      </c>
      <c r="I157" s="413"/>
      <c r="J157" s="413"/>
      <c r="K157" s="413"/>
      <c r="L157" s="414"/>
    </row>
    <row r="158" spans="1:12">
      <c r="A158" s="186"/>
      <c r="B158" s="187"/>
      <c r="C158" s="187"/>
      <c r="D158" s="187"/>
      <c r="E158" s="187"/>
      <c r="F158" s="401"/>
      <c r="G158" s="402"/>
      <c r="H158" s="402"/>
      <c r="I158" s="402"/>
      <c r="J158" s="402"/>
      <c r="K158" s="402"/>
      <c r="L158" s="403"/>
    </row>
    <row r="159" spans="1:12">
      <c r="A159" s="238"/>
      <c r="B159" s="238"/>
      <c r="C159" s="238"/>
      <c r="D159" s="238"/>
      <c r="E159" s="238"/>
      <c r="F159" s="238"/>
      <c r="G159" s="238"/>
      <c r="H159" s="238"/>
      <c r="I159" s="238"/>
      <c r="J159" s="238"/>
      <c r="K159" s="238"/>
      <c r="L159" s="239"/>
    </row>
  </sheetData>
  <sheetProtection password="9090" sheet="1" objects="1" scenarios="1"/>
  <mergeCells count="272">
    <mergeCell ref="A1:H1"/>
    <mergeCell ref="I1:L1"/>
    <mergeCell ref="A8:F8"/>
    <mergeCell ref="G8:L8"/>
    <mergeCell ref="A9:F9"/>
    <mergeCell ref="G9:L9"/>
    <mergeCell ref="A10:F11"/>
    <mergeCell ref="G10:L11"/>
    <mergeCell ref="A2:L2"/>
    <mergeCell ref="A3:L3"/>
    <mergeCell ref="A4:L4"/>
    <mergeCell ref="A5:L5"/>
    <mergeCell ref="A6:L6"/>
    <mergeCell ref="A7:F7"/>
    <mergeCell ref="G7:L7"/>
    <mergeCell ref="D12:F12"/>
    <mergeCell ref="G12:L12"/>
    <mergeCell ref="A13:C13"/>
    <mergeCell ref="D13:F13"/>
    <mergeCell ref="G13:L13"/>
    <mergeCell ref="A18:B18"/>
    <mergeCell ref="C18:E18"/>
    <mergeCell ref="F18:G18"/>
    <mergeCell ref="H18:J18"/>
    <mergeCell ref="K18:L18"/>
    <mergeCell ref="D14:F16"/>
    <mergeCell ref="G14:I14"/>
    <mergeCell ref="J14:L14"/>
    <mergeCell ref="G15:H15"/>
    <mergeCell ref="J15:L16"/>
    <mergeCell ref="G16:H16"/>
    <mergeCell ref="A12:C1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23:B23"/>
    <mergeCell ref="C23:E23"/>
    <mergeCell ref="F23:G23"/>
    <mergeCell ref="H23:J23"/>
    <mergeCell ref="K23:L23"/>
    <mergeCell ref="K27:L27"/>
    <mergeCell ref="B28:D28"/>
    <mergeCell ref="G28:H28"/>
    <mergeCell ref="I28:J28"/>
    <mergeCell ref="A24:L24"/>
    <mergeCell ref="B25:D25"/>
    <mergeCell ref="E25:L25"/>
    <mergeCell ref="B26:D26"/>
    <mergeCell ref="E26:F26"/>
    <mergeCell ref="G26:H26"/>
    <mergeCell ref="I26:J26"/>
    <mergeCell ref="K26:L26"/>
    <mergeCell ref="B29:D29"/>
    <mergeCell ref="E29:F29"/>
    <mergeCell ref="G29:H29"/>
    <mergeCell ref="I29:J29"/>
    <mergeCell ref="B30:D30"/>
    <mergeCell ref="E30:F30"/>
    <mergeCell ref="G30:H30"/>
    <mergeCell ref="I30:J30"/>
    <mergeCell ref="E27:F27"/>
    <mergeCell ref="G27:H27"/>
    <mergeCell ref="I27:J27"/>
    <mergeCell ref="B37:D37"/>
    <mergeCell ref="E37:F37"/>
    <mergeCell ref="G37:H37"/>
    <mergeCell ref="I37:J37"/>
    <mergeCell ref="B38:D38"/>
    <mergeCell ref="E38:F38"/>
    <mergeCell ref="G38:H38"/>
    <mergeCell ref="I38:J38"/>
    <mergeCell ref="B31:D31"/>
    <mergeCell ref="B32:D32"/>
    <mergeCell ref="B33:D33"/>
    <mergeCell ref="B34:D34"/>
    <mergeCell ref="B35:D35"/>
    <mergeCell ref="B36:D36"/>
    <mergeCell ref="B41:D41"/>
    <mergeCell ref="B42:D42"/>
    <mergeCell ref="E42:F42"/>
    <mergeCell ref="G42:H42"/>
    <mergeCell ref="I42:J42"/>
    <mergeCell ref="A44:L44"/>
    <mergeCell ref="B39:D39"/>
    <mergeCell ref="E39:F39"/>
    <mergeCell ref="G39:H39"/>
    <mergeCell ref="I39:J39"/>
    <mergeCell ref="B40:D40"/>
    <mergeCell ref="E40:F40"/>
    <mergeCell ref="G40:H40"/>
    <mergeCell ref="I40:J40"/>
    <mergeCell ref="K47:L47"/>
    <mergeCell ref="B48:D48"/>
    <mergeCell ref="G48:H48"/>
    <mergeCell ref="I48:J48"/>
    <mergeCell ref="B45:D45"/>
    <mergeCell ref="E45:L45"/>
    <mergeCell ref="B46:D46"/>
    <mergeCell ref="E46:F46"/>
    <mergeCell ref="G46:H46"/>
    <mergeCell ref="I46:J46"/>
    <mergeCell ref="K46:L46"/>
    <mergeCell ref="B49:D49"/>
    <mergeCell ref="G49:H49"/>
    <mergeCell ref="I49:J49"/>
    <mergeCell ref="B50:D50"/>
    <mergeCell ref="G50:H50"/>
    <mergeCell ref="I50:J50"/>
    <mergeCell ref="E47:F47"/>
    <mergeCell ref="G47:H47"/>
    <mergeCell ref="I47:J47"/>
    <mergeCell ref="B53:D53"/>
    <mergeCell ref="G53:H53"/>
    <mergeCell ref="I53:J53"/>
    <mergeCell ref="B54:D54"/>
    <mergeCell ref="G54:H54"/>
    <mergeCell ref="I54:J54"/>
    <mergeCell ref="B51:D51"/>
    <mergeCell ref="G51:H51"/>
    <mergeCell ref="I51:J51"/>
    <mergeCell ref="B52:D52"/>
    <mergeCell ref="G52:H52"/>
    <mergeCell ref="I52:J52"/>
    <mergeCell ref="B57:D57"/>
    <mergeCell ref="G57:H57"/>
    <mergeCell ref="I57:J57"/>
    <mergeCell ref="B58:D58"/>
    <mergeCell ref="G58:H58"/>
    <mergeCell ref="I58:J58"/>
    <mergeCell ref="B55:D55"/>
    <mergeCell ref="G55:H55"/>
    <mergeCell ref="I55:J55"/>
    <mergeCell ref="B56:D56"/>
    <mergeCell ref="G56:H56"/>
    <mergeCell ref="I56:J56"/>
    <mergeCell ref="B61:D61"/>
    <mergeCell ref="B62:D62"/>
    <mergeCell ref="E62:F62"/>
    <mergeCell ref="G62:L62"/>
    <mergeCell ref="A63:L63"/>
    <mergeCell ref="B64:D64"/>
    <mergeCell ref="G64:I64"/>
    <mergeCell ref="B59:D59"/>
    <mergeCell ref="G59:H59"/>
    <mergeCell ref="I59:J59"/>
    <mergeCell ref="B60:D60"/>
    <mergeCell ref="G60:H60"/>
    <mergeCell ref="I60:J60"/>
    <mergeCell ref="A71:L71"/>
    <mergeCell ref="A72:L72"/>
    <mergeCell ref="A73:L73"/>
    <mergeCell ref="A74:G74"/>
    <mergeCell ref="A75:L75"/>
    <mergeCell ref="A76:L76"/>
    <mergeCell ref="A65:C65"/>
    <mergeCell ref="J65:K65"/>
    <mergeCell ref="A66:E66"/>
    <mergeCell ref="A67:L68"/>
    <mergeCell ref="A69:B69"/>
    <mergeCell ref="A70:L70"/>
    <mergeCell ref="J91:K91"/>
    <mergeCell ref="A94:G94"/>
    <mergeCell ref="A95:G95"/>
    <mergeCell ref="J96:K96"/>
    <mergeCell ref="G110:H112"/>
    <mergeCell ref="I110:J112"/>
    <mergeCell ref="K110:L112"/>
    <mergeCell ref="A111:D111"/>
    <mergeCell ref="A77:L77"/>
    <mergeCell ref="A78:L78"/>
    <mergeCell ref="A79:L79"/>
    <mergeCell ref="A80:E80"/>
    <mergeCell ref="A83:L83"/>
    <mergeCell ref="A84:L84"/>
    <mergeCell ref="C115:E115"/>
    <mergeCell ref="G115:H115"/>
    <mergeCell ref="I115:J115"/>
    <mergeCell ref="K115:L115"/>
    <mergeCell ref="C116:E116"/>
    <mergeCell ref="G116:H116"/>
    <mergeCell ref="I116:J116"/>
    <mergeCell ref="K116:L116"/>
    <mergeCell ref="G113:H113"/>
    <mergeCell ref="I113:J113"/>
    <mergeCell ref="K113:L113"/>
    <mergeCell ref="C114:E114"/>
    <mergeCell ref="G114:H114"/>
    <mergeCell ref="I114:J114"/>
    <mergeCell ref="K114:L114"/>
    <mergeCell ref="G118:H118"/>
    <mergeCell ref="I118:J118"/>
    <mergeCell ref="K118:L118"/>
    <mergeCell ref="C119:E119"/>
    <mergeCell ref="G119:H119"/>
    <mergeCell ref="I119:J119"/>
    <mergeCell ref="K119:L119"/>
    <mergeCell ref="C117:E117"/>
    <mergeCell ref="G117:H117"/>
    <mergeCell ref="I117:J117"/>
    <mergeCell ref="K117:L117"/>
    <mergeCell ref="G122:H122"/>
    <mergeCell ref="I122:J122"/>
    <mergeCell ref="K122:L122"/>
    <mergeCell ref="G125:H125"/>
    <mergeCell ref="I125:J125"/>
    <mergeCell ref="K125:L125"/>
    <mergeCell ref="G120:H120"/>
    <mergeCell ref="I120:J120"/>
    <mergeCell ref="K120:L120"/>
    <mergeCell ref="G121:H121"/>
    <mergeCell ref="I121:J121"/>
    <mergeCell ref="K121:L121"/>
    <mergeCell ref="C131:E131"/>
    <mergeCell ref="G131:H131"/>
    <mergeCell ref="I131:J131"/>
    <mergeCell ref="K131:L131"/>
    <mergeCell ref="C132:E132"/>
    <mergeCell ref="G132:H132"/>
    <mergeCell ref="I132:J132"/>
    <mergeCell ref="K132:L132"/>
    <mergeCell ref="G126:H126"/>
    <mergeCell ref="I126:J126"/>
    <mergeCell ref="K126:L126"/>
    <mergeCell ref="I129:J129"/>
    <mergeCell ref="K129:L129"/>
    <mergeCell ref="C130:E130"/>
    <mergeCell ref="G130:H130"/>
    <mergeCell ref="I130:J130"/>
    <mergeCell ref="K130:L130"/>
    <mergeCell ref="K138:L138"/>
    <mergeCell ref="K139:L139"/>
    <mergeCell ref="K140:L140"/>
    <mergeCell ref="K141:L141"/>
    <mergeCell ref="K142:L142"/>
    <mergeCell ref="K143:L143"/>
    <mergeCell ref="G133:H133"/>
    <mergeCell ref="I133:J133"/>
    <mergeCell ref="K133:L133"/>
    <mergeCell ref="K134:L134"/>
    <mergeCell ref="K135:L135"/>
    <mergeCell ref="K137:L137"/>
    <mergeCell ref="F158:L158"/>
    <mergeCell ref="A149:L149"/>
    <mergeCell ref="F154:L154"/>
    <mergeCell ref="F155:L155"/>
    <mergeCell ref="A156:C156"/>
    <mergeCell ref="H156:L156"/>
    <mergeCell ref="A157:C157"/>
    <mergeCell ref="H157:L157"/>
    <mergeCell ref="K144:L144"/>
    <mergeCell ref="K145:L145"/>
    <mergeCell ref="A146:L146"/>
    <mergeCell ref="B147:D147"/>
    <mergeCell ref="G147:I147"/>
    <mergeCell ref="A148:C148"/>
  </mergeCells>
  <dataValidations count="1">
    <dataValidation type="list" allowBlank="1" showInputMessage="1" showErrorMessage="1" sqref="I1:L1">
      <formula1>"OLD REGIME, NEW REGIME"</formula1>
    </dataValidation>
  </dataValidations>
  <pageMargins left="0.7" right="0.7" top="0.31" bottom="0.75" header="0.3" footer="0.3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GA-55</vt:lpstr>
      <vt:lpstr>Other Deduction</vt:lpstr>
      <vt:lpstr>Tax Old Regime</vt:lpstr>
      <vt:lpstr>Tax New Regime</vt:lpstr>
      <vt:lpstr>Form 16</vt:lpstr>
      <vt:lpstr>'Form 16'!Print_Area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abc</cp:lastModifiedBy>
  <cp:lastPrinted>2025-10-31T08:23:17Z</cp:lastPrinted>
  <dcterms:created xsi:type="dcterms:W3CDTF">2013-12-06T08:14:36Z</dcterms:created>
  <dcterms:modified xsi:type="dcterms:W3CDTF">2026-04-25T14:08:37Z</dcterms:modified>
</cp:coreProperties>
</file>